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D:\Public\ad\2019\IOM\Jan\"/>
    </mc:Choice>
  </mc:AlternateContent>
  <bookViews>
    <workbookView xWindow="0" yWindow="0" windowWidth="23040" windowHeight="9384" tabRatio="599" firstSheet="13" activeTab="17"/>
  </bookViews>
  <sheets>
    <sheet name="1 Preliminaries " sheetId="1" r:id="rId1"/>
    <sheet name="2 Office Block" sheetId="27" r:id="rId2"/>
    <sheet name="3 New Calssrooms" sheetId="33" r:id="rId3"/>
    <sheet name="4 Metting Hall Partitioning " sheetId="34" r:id="rId4"/>
    <sheet name="5 Prayer Room" sheetId="35" r:id="rId5"/>
    <sheet name="6 General Store" sheetId="36" r:id="rId6"/>
    <sheet name="7 Clinic" sheetId="37" r:id="rId7"/>
    <sheet name="8 Kitchen and Dining" sheetId="38" r:id="rId8"/>
    <sheet name="9 Accommodattion Block" sheetId="39" r:id="rId9"/>
    <sheet name="10 Toilets" sheetId="30" r:id="rId10"/>
    <sheet name="11 Gate House " sheetId="41" r:id="rId11"/>
    <sheet name="12 WATER TANK" sheetId="25" r:id="rId12"/>
    <sheet name="13 Security Fences" sheetId="11" r:id="rId13"/>
    <sheet name="14 Guard Towers" sheetId="9" r:id="rId14"/>
    <sheet name="15 Street Lights" sheetId="10" r:id="rId15"/>
    <sheet name="16 Septic Tank" sheetId="5" r:id="rId16"/>
    <sheet name="17 External Works" sheetId="31" r:id="rId17"/>
    <sheet name="Summary" sheetId="13" r:id="rId18"/>
  </sheets>
  <definedNames>
    <definedName name="Excel_BuiltIn__FilterDatabase_4" localSheetId="0">#REF!</definedName>
    <definedName name="Excel_BuiltIn__FilterDatabase_4" localSheetId="9">#REF!</definedName>
    <definedName name="Excel_BuiltIn__FilterDatabase_4" localSheetId="10">#REF!</definedName>
    <definedName name="Excel_BuiltIn__FilterDatabase_4" localSheetId="16">#REF!</definedName>
    <definedName name="Excel_BuiltIn__FilterDatabase_4" localSheetId="2">#REF!</definedName>
    <definedName name="Excel_BuiltIn__FilterDatabase_4" localSheetId="3">#REF!</definedName>
    <definedName name="Excel_BuiltIn__FilterDatabase_4" localSheetId="5">#REF!</definedName>
    <definedName name="Excel_BuiltIn__FilterDatabase_4" localSheetId="6">#REF!</definedName>
    <definedName name="Excel_BuiltIn__FilterDatabase_4" localSheetId="7">#REF!</definedName>
    <definedName name="Excel_BuiltIn__FilterDatabase_4" localSheetId="8">#REF!</definedName>
    <definedName name="Excel_BuiltIn__FilterDatabase_4">#REF!</definedName>
    <definedName name="Excel_BuiltIn__FilterDatabase_5" localSheetId="0">#REF!</definedName>
    <definedName name="Excel_BuiltIn__FilterDatabase_5" localSheetId="9">#REF!</definedName>
    <definedName name="Excel_BuiltIn__FilterDatabase_5" localSheetId="10">#REF!</definedName>
    <definedName name="Excel_BuiltIn__FilterDatabase_5" localSheetId="16">#REF!</definedName>
    <definedName name="Excel_BuiltIn__FilterDatabase_5" localSheetId="2">#REF!</definedName>
    <definedName name="Excel_BuiltIn__FilterDatabase_5" localSheetId="3">#REF!</definedName>
    <definedName name="Excel_BuiltIn__FilterDatabase_5" localSheetId="5">#REF!</definedName>
    <definedName name="Excel_BuiltIn__FilterDatabase_5" localSheetId="6">#REF!</definedName>
    <definedName name="Excel_BuiltIn__FilterDatabase_5" localSheetId="7">#REF!</definedName>
    <definedName name="Excel_BuiltIn__FilterDatabase_5" localSheetId="8">#REF!</definedName>
    <definedName name="Excel_BuiltIn__FilterDatabase_5">#REF!</definedName>
    <definedName name="Excel_BuiltIn_Print_Area_3" localSheetId="0">#REF!</definedName>
    <definedName name="Excel_BuiltIn_Print_Area_3" localSheetId="9">#REF!</definedName>
    <definedName name="Excel_BuiltIn_Print_Area_3" localSheetId="10">#REF!</definedName>
    <definedName name="Excel_BuiltIn_Print_Area_3" localSheetId="16">#REF!</definedName>
    <definedName name="Excel_BuiltIn_Print_Area_3" localSheetId="2">#REF!</definedName>
    <definedName name="Excel_BuiltIn_Print_Area_3" localSheetId="3">#REF!</definedName>
    <definedName name="Excel_BuiltIn_Print_Area_3" localSheetId="5">#REF!</definedName>
    <definedName name="Excel_BuiltIn_Print_Area_3" localSheetId="6">#REF!</definedName>
    <definedName name="Excel_BuiltIn_Print_Area_3" localSheetId="7">#REF!</definedName>
    <definedName name="Excel_BuiltIn_Print_Area_3" localSheetId="8">#REF!</definedName>
    <definedName name="Excel_BuiltIn_Print_Area_3">#REF!</definedName>
    <definedName name="Excel_BuiltIn_Print_Area_4" localSheetId="0">#REF!</definedName>
    <definedName name="Excel_BuiltIn_Print_Area_4" localSheetId="9">#REF!</definedName>
    <definedName name="Excel_BuiltIn_Print_Area_4" localSheetId="10">#REF!</definedName>
    <definedName name="Excel_BuiltIn_Print_Area_4" localSheetId="16">#REF!</definedName>
    <definedName name="Excel_BuiltIn_Print_Area_4" localSheetId="2">#REF!</definedName>
    <definedName name="Excel_BuiltIn_Print_Area_4" localSheetId="3">#REF!</definedName>
    <definedName name="Excel_BuiltIn_Print_Area_4" localSheetId="5">#REF!</definedName>
    <definedName name="Excel_BuiltIn_Print_Area_4" localSheetId="6">#REF!</definedName>
    <definedName name="Excel_BuiltIn_Print_Area_4" localSheetId="7">#REF!</definedName>
    <definedName name="Excel_BuiltIn_Print_Area_4" localSheetId="8">#REF!</definedName>
    <definedName name="Excel_BuiltIn_Print_Area_4">#REF!</definedName>
    <definedName name="Excel_BuiltIn_Print_Area_5" localSheetId="0">#REF!</definedName>
    <definedName name="Excel_BuiltIn_Print_Area_5" localSheetId="9">#REF!</definedName>
    <definedName name="Excel_BuiltIn_Print_Area_5" localSheetId="10">#REF!</definedName>
    <definedName name="Excel_BuiltIn_Print_Area_5" localSheetId="16">#REF!</definedName>
    <definedName name="Excel_BuiltIn_Print_Area_5" localSheetId="2">#REF!</definedName>
    <definedName name="Excel_BuiltIn_Print_Area_5" localSheetId="3">#REF!</definedName>
    <definedName name="Excel_BuiltIn_Print_Area_5" localSheetId="5">#REF!</definedName>
    <definedName name="Excel_BuiltIn_Print_Area_5" localSheetId="6">#REF!</definedName>
    <definedName name="Excel_BuiltIn_Print_Area_5" localSheetId="7">#REF!</definedName>
    <definedName name="Excel_BuiltIn_Print_Area_5" localSheetId="8">#REF!</definedName>
    <definedName name="Excel_BuiltIn_Print_Area_5">#REF!</definedName>
    <definedName name="Excel_BuiltIn_Print_Titles_4" localSheetId="0">#REF!</definedName>
    <definedName name="Excel_BuiltIn_Print_Titles_4" localSheetId="9">#REF!</definedName>
    <definedName name="Excel_BuiltIn_Print_Titles_4" localSheetId="10">#REF!</definedName>
    <definedName name="Excel_BuiltIn_Print_Titles_4" localSheetId="16">#REF!</definedName>
    <definedName name="Excel_BuiltIn_Print_Titles_4" localSheetId="2">#REF!</definedName>
    <definedName name="Excel_BuiltIn_Print_Titles_4" localSheetId="3">#REF!</definedName>
    <definedName name="Excel_BuiltIn_Print_Titles_4" localSheetId="5">#REF!</definedName>
    <definedName name="Excel_BuiltIn_Print_Titles_4" localSheetId="6">#REF!</definedName>
    <definedName name="Excel_BuiltIn_Print_Titles_4" localSheetId="7">#REF!</definedName>
    <definedName name="Excel_BuiltIn_Print_Titles_4" localSheetId="8">#REF!</definedName>
    <definedName name="Excel_BuiltIn_Print_Titles_4">#REF!</definedName>
    <definedName name="Excel_BuiltIn_Print_Titles_5" localSheetId="0">#REF!</definedName>
    <definedName name="Excel_BuiltIn_Print_Titles_5" localSheetId="9">#REF!</definedName>
    <definedName name="Excel_BuiltIn_Print_Titles_5" localSheetId="10">#REF!</definedName>
    <definedName name="Excel_BuiltIn_Print_Titles_5" localSheetId="16">#REF!</definedName>
    <definedName name="Excel_BuiltIn_Print_Titles_5" localSheetId="2">#REF!</definedName>
    <definedName name="Excel_BuiltIn_Print_Titles_5" localSheetId="3">#REF!</definedName>
    <definedName name="Excel_BuiltIn_Print_Titles_5" localSheetId="5">#REF!</definedName>
    <definedName name="Excel_BuiltIn_Print_Titles_5" localSheetId="6">#REF!</definedName>
    <definedName name="Excel_BuiltIn_Print_Titles_5" localSheetId="7">#REF!</definedName>
    <definedName name="Excel_BuiltIn_Print_Titles_5" localSheetId="8">#REF!</definedName>
    <definedName name="Excel_BuiltIn_Print_Titles_5">#REF!</definedName>
    <definedName name="_xlnm.Print_Area" localSheetId="9">'10 Toilets'!$A$1:$F$233</definedName>
    <definedName name="_xlnm.Print_Area" localSheetId="10">'11 Gate House '!$A$1:$F$129</definedName>
    <definedName name="_xlnm.Print_Area" localSheetId="11">'12 WATER TANK'!$A$1:$F$111</definedName>
    <definedName name="_xlnm.Print_Area" localSheetId="12">'13 Security Fences'!$A$1:$F$69</definedName>
    <definedName name="_xlnm.Print_Area" localSheetId="13">'14 Guard Towers'!$A$1:$F$111</definedName>
    <definedName name="_xlnm.Print_Area" localSheetId="14">'15 Street Lights'!$A$1:$F$16</definedName>
    <definedName name="_xlnm.Print_Area" localSheetId="16">'17 External Works'!$A$1:$F$42</definedName>
    <definedName name="_xlnm.Print_Area" localSheetId="1">'2 Office Block'!$A$1:$F$165</definedName>
    <definedName name="_xlnm.Print_Area" localSheetId="2">'3 New Calssrooms'!$A$1:$F$197</definedName>
    <definedName name="_xlnm.Print_Area" localSheetId="3">'4 Metting Hall Partitioning '!$A$1:$F$127</definedName>
    <definedName name="_xlnm.Print_Area" localSheetId="4">'5 Prayer Room'!$A$1:$F$210</definedName>
    <definedName name="_xlnm.Print_Area" localSheetId="5">'6 General Store'!$A$1:$F$203</definedName>
    <definedName name="_xlnm.Print_Area" localSheetId="6">'7 Clinic'!$A$1:$F$220</definedName>
    <definedName name="_xlnm.Print_Area" localSheetId="7">'8 Kitchen and Dining'!$A$1:$F$233</definedName>
    <definedName name="_xlnm.Print_Area" localSheetId="8">'9 Accommodattion Block'!$A$1:$F$165</definedName>
    <definedName name="_xlnm.Print_Area" localSheetId="17">Summary!$A$1:$D$67</definedName>
    <definedName name="Z_1E933494_4ABB_4290_95BF_88ADDB331983_.wvu.PrintArea" localSheetId="0" hidden="1">'1 Preliminaries '!$A$1:$E$471</definedName>
    <definedName name="Z_1E933494_4ABB_4290_95BF_88ADDB331983_.wvu.PrintArea" localSheetId="9" hidden="1">'10 Toilets'!$A$1:$F$156</definedName>
    <definedName name="Z_1E933494_4ABB_4290_95BF_88ADDB331983_.wvu.PrintArea" localSheetId="10" hidden="1">'11 Gate House '!$A$1:$F$129</definedName>
    <definedName name="Z_1E933494_4ABB_4290_95BF_88ADDB331983_.wvu.PrintArea" localSheetId="12" hidden="1">'13 Security Fences'!$A$1:$F$43</definedName>
    <definedName name="Z_1E933494_4ABB_4290_95BF_88ADDB331983_.wvu.PrintArea" localSheetId="13" hidden="1">'14 Guard Towers'!$A$1:$F$111</definedName>
    <definedName name="Z_1E933494_4ABB_4290_95BF_88ADDB331983_.wvu.PrintArea" localSheetId="14" hidden="1">'15 Street Lights'!$A$1:$F$14</definedName>
    <definedName name="Z_1E933494_4ABB_4290_95BF_88ADDB331983_.wvu.PrintArea" localSheetId="15" hidden="1">'16 Septic Tank'!$A$1:$F$66</definedName>
    <definedName name="Z_1E933494_4ABB_4290_95BF_88ADDB331983_.wvu.PrintArea" localSheetId="16" hidden="1">'17 External Works'!$A$1:$F$12</definedName>
    <definedName name="Z_1E933494_4ABB_4290_95BF_88ADDB331983_.wvu.PrintArea" localSheetId="1" hidden="1">'2 Office Block'!$A$1:$F$165</definedName>
    <definedName name="Z_1E933494_4ABB_4290_95BF_88ADDB331983_.wvu.PrintArea" localSheetId="2" hidden="1">'3 New Calssrooms'!$A$1:$F$182</definedName>
    <definedName name="Z_1E933494_4ABB_4290_95BF_88ADDB331983_.wvu.PrintArea" localSheetId="3" hidden="1">'4 Metting Hall Partitioning '!$A$1:$F$119</definedName>
    <definedName name="Z_1E933494_4ABB_4290_95BF_88ADDB331983_.wvu.PrintArea" localSheetId="8" hidden="1">'9 Accommodattion Block'!$A$1:$F$165</definedName>
    <definedName name="Z_1E933494_4ABB_4290_95BF_88ADDB331983_.wvu.PrintArea" localSheetId="17" hidden="1">Summary!$A$1:$D$67</definedName>
    <definedName name="Z_58A41188_4CB9_4607_A927_9B98665919B2_.wvu.PrintArea" localSheetId="9" hidden="1">'10 Toilets'!$A$1:$F$156</definedName>
    <definedName name="Z_58A41188_4CB9_4607_A927_9B98665919B2_.wvu.PrintArea" localSheetId="10" hidden="1">'11 Gate House '!$A$1:$F$129</definedName>
    <definedName name="Z_58A41188_4CB9_4607_A927_9B98665919B2_.wvu.PrintArea" localSheetId="12" hidden="1">'13 Security Fences'!$A$1:$F$43</definedName>
    <definedName name="Z_58A41188_4CB9_4607_A927_9B98665919B2_.wvu.PrintArea" localSheetId="13" hidden="1">'14 Guard Towers'!$A$1:$F$54</definedName>
    <definedName name="Z_58A41188_4CB9_4607_A927_9B98665919B2_.wvu.PrintArea" localSheetId="14" hidden="1">'15 Street Lights'!$A$1:$F$14</definedName>
    <definedName name="Z_58A41188_4CB9_4607_A927_9B98665919B2_.wvu.PrintArea" localSheetId="16" hidden="1">'17 External Works'!$A$1:$F$8</definedName>
    <definedName name="Z_58A41188_4CB9_4607_A927_9B98665919B2_.wvu.PrintArea" localSheetId="1" hidden="1">'2 Office Block'!$A$1:$F$165</definedName>
    <definedName name="Z_58A41188_4CB9_4607_A927_9B98665919B2_.wvu.PrintArea" localSheetId="2" hidden="1">'3 New Calssrooms'!$A$1:$F$182</definedName>
    <definedName name="Z_58A41188_4CB9_4607_A927_9B98665919B2_.wvu.PrintArea" localSheetId="3" hidden="1">'4 Metting Hall Partitioning '!$A$1:$F$119</definedName>
    <definedName name="Z_58A41188_4CB9_4607_A927_9B98665919B2_.wvu.PrintArea" localSheetId="8" hidden="1">'9 Accommodattion Block'!$A$1:$F$165</definedName>
    <definedName name="Z_58A41188_4CB9_4607_A927_9B98665919B2_.wvu.PrintArea" localSheetId="17" hidden="1">Summary!$A$1:$D$67</definedName>
  </definedNames>
  <calcPr calcId="152511"/>
  <customWorkbookViews>
    <customWorkbookView name="Joshua Mokaya - Personal View" guid="{58A41188-4CB9-4607-A927-9B98665919B2}" mergeInterval="0" personalView="1" xWindow="5" windowWidth="795" windowHeight="860" tabRatio="599" activeSheetId="27"/>
    <customWorkbookView name="MUTULILI Jane - Personal View" guid="{1E933494-4ABB-4290-95BF-88ADDB331983}" mergeInterval="0" personalView="1" maximized="1" xWindow="-9" yWindow="-9" windowWidth="1938" windowHeight="1048" tabRatio="599" activeSheetId="6"/>
  </customWorkbookViews>
</workbook>
</file>

<file path=xl/calcChain.xml><?xml version="1.0" encoding="utf-8"?>
<calcChain xmlns="http://schemas.openxmlformats.org/spreadsheetml/2006/main">
  <c r="B159" i="39" l="1"/>
  <c r="B156" i="39"/>
  <c r="B155" i="39"/>
  <c r="D114" i="39"/>
  <c r="D115" i="39"/>
  <c r="D110" i="39"/>
  <c r="D139" i="38"/>
  <c r="D85" i="34"/>
  <c r="D69" i="34"/>
  <c r="D70" i="34"/>
  <c r="D28" i="34"/>
  <c r="D27" i="34"/>
  <c r="D26" i="34"/>
  <c r="D25" i="34"/>
  <c r="D24" i="34"/>
  <c r="D23" i="34"/>
  <c r="B189" i="33"/>
  <c r="B193" i="33"/>
  <c r="B191" i="33"/>
  <c r="B187" i="33"/>
  <c r="B185" i="33"/>
  <c r="B183" i="33"/>
  <c r="B181" i="33"/>
  <c r="D116" i="39" l="1"/>
  <c r="B155" i="27"/>
  <c r="B157" i="27"/>
  <c r="B159" i="27"/>
  <c r="B161" i="27"/>
  <c r="B153" i="27"/>
  <c r="B151" i="27"/>
  <c r="B149" i="27"/>
  <c r="B147" i="27"/>
  <c r="B145" i="27"/>
  <c r="D23" i="41" l="1"/>
  <c r="D21" i="41"/>
  <c r="D20" i="41"/>
  <c r="D16" i="41"/>
  <c r="D15" i="41"/>
  <c r="D60" i="39"/>
  <c r="D66" i="39"/>
  <c r="D65" i="39"/>
  <c r="D64" i="39"/>
  <c r="D63" i="39"/>
  <c r="D62" i="39"/>
  <c r="D55" i="39"/>
  <c r="D53" i="39"/>
  <c r="D52" i="39"/>
  <c r="D49" i="39"/>
  <c r="D48" i="39"/>
  <c r="D47" i="39"/>
  <c r="B220" i="38"/>
  <c r="A220" i="38"/>
  <c r="D59" i="38"/>
  <c r="D57" i="38"/>
  <c r="D49" i="38"/>
  <c r="D47" i="38"/>
  <c r="D46" i="38"/>
  <c r="D43" i="38"/>
  <c r="D42" i="38"/>
  <c r="D41" i="38"/>
  <c r="G46" i="38"/>
  <c r="H41" i="38"/>
  <c r="A209" i="37"/>
  <c r="B209" i="37"/>
  <c r="D59" i="37"/>
  <c r="D57" i="37"/>
  <c r="D49" i="37"/>
  <c r="D47" i="37"/>
  <c r="D46" i="37"/>
  <c r="D43" i="37"/>
  <c r="D42" i="37"/>
  <c r="D41" i="37"/>
  <c r="B194" i="36"/>
  <c r="D59" i="36"/>
  <c r="D57" i="36"/>
  <c r="D48" i="36"/>
  <c r="D46" i="36"/>
  <c r="D45" i="36"/>
  <c r="G45" i="36" s="1"/>
  <c r="D40" i="36"/>
  <c r="D42" i="36"/>
  <c r="D41" i="36"/>
  <c r="H40" i="36"/>
  <c r="B200" i="35"/>
  <c r="D59" i="35"/>
  <c r="D57" i="35"/>
  <c r="D49" i="35"/>
  <c r="D47" i="35"/>
  <c r="D46" i="35"/>
  <c r="D43" i="35"/>
  <c r="D42" i="35"/>
  <c r="D41" i="35"/>
  <c r="D18" i="34"/>
  <c r="D16" i="34"/>
  <c r="D15" i="34"/>
  <c r="D10" i="34"/>
  <c r="D11" i="34"/>
  <c r="D69" i="33"/>
  <c r="D68" i="33"/>
  <c r="D65" i="33"/>
  <c r="D66" i="33"/>
  <c r="D56" i="33"/>
  <c r="D54" i="33"/>
  <c r="D53" i="33"/>
  <c r="G53" i="33" s="1"/>
  <c r="D50" i="33"/>
  <c r="D49" i="33"/>
  <c r="D48" i="33"/>
  <c r="H48" i="33"/>
  <c r="D56" i="27"/>
  <c r="D53" i="27"/>
  <c r="D52" i="27"/>
  <c r="D125" i="38" l="1"/>
  <c r="D49" i="27"/>
  <c r="D47" i="27"/>
  <c r="D48" i="27"/>
  <c r="G52" i="27"/>
  <c r="H47" i="27"/>
  <c r="D129" i="38" l="1"/>
  <c r="D23" i="27"/>
  <c r="D24" i="27"/>
  <c r="B39" i="13" l="1"/>
  <c r="B37" i="13"/>
  <c r="B35" i="13"/>
  <c r="B33" i="13"/>
  <c r="B31" i="13"/>
  <c r="B29" i="13"/>
  <c r="B27" i="13"/>
  <c r="B23" i="13"/>
  <c r="B25" i="13"/>
  <c r="B21" i="13"/>
  <c r="B19" i="13"/>
  <c r="B17" i="13"/>
  <c r="B15" i="13"/>
  <c r="B13" i="13"/>
  <c r="B11" i="13"/>
  <c r="D46" i="11"/>
  <c r="D43" i="11"/>
  <c r="D25" i="11"/>
  <c r="D23" i="11"/>
  <c r="D19" i="11"/>
  <c r="D17" i="11"/>
  <c r="D15" i="11"/>
  <c r="D14" i="11"/>
  <c r="D10" i="11"/>
  <c r="D9" i="11"/>
  <c r="D12" i="11" s="1"/>
  <c r="B121" i="41"/>
  <c r="A121" i="41"/>
  <c r="B120" i="41"/>
  <c r="A120" i="41"/>
  <c r="D105" i="41"/>
  <c r="D87" i="41"/>
  <c r="D58" i="41"/>
  <c r="D50" i="41"/>
  <c r="D44" i="41"/>
  <c r="D43" i="41"/>
  <c r="D42" i="41"/>
  <c r="D45" i="41"/>
  <c r="D41" i="41"/>
  <c r="D33" i="41"/>
  <c r="D32" i="41"/>
  <c r="D31" i="41"/>
  <c r="B126" i="41"/>
  <c r="A126" i="41"/>
  <c r="B125" i="41"/>
  <c r="A125" i="41"/>
  <c r="B124" i="41"/>
  <c r="A124" i="41"/>
  <c r="B123" i="41"/>
  <c r="A123" i="41"/>
  <c r="B122" i="41"/>
  <c r="A122" i="41"/>
  <c r="B119" i="41"/>
  <c r="A119" i="41"/>
  <c r="D98" i="41"/>
  <c r="D73" i="41"/>
  <c r="D72" i="41"/>
  <c r="D74" i="41" s="1"/>
  <c r="D67" i="41"/>
  <c r="D68" i="41" s="1"/>
  <c r="D60" i="41"/>
  <c r="D54" i="41"/>
  <c r="D56" i="41" s="1"/>
  <c r="D62" i="41" s="1"/>
  <c r="D39" i="41"/>
  <c r="D8" i="41"/>
  <c r="B2" i="41"/>
  <c r="B231" i="30"/>
  <c r="A231" i="30"/>
  <c r="B230" i="30"/>
  <c r="A230" i="30"/>
  <c r="B229" i="30"/>
  <c r="A229" i="30"/>
  <c r="B228" i="30"/>
  <c r="A228" i="30"/>
  <c r="B227" i="30"/>
  <c r="A227" i="30"/>
  <c r="B226" i="30"/>
  <c r="A226" i="30"/>
  <c r="B225" i="30"/>
  <c r="A225" i="30"/>
  <c r="B224" i="30"/>
  <c r="A224" i="30"/>
  <c r="B223" i="30"/>
  <c r="A223" i="30"/>
  <c r="B222" i="30"/>
  <c r="A222" i="30"/>
  <c r="D81" i="30"/>
  <c r="D74" i="30"/>
  <c r="D72" i="30"/>
  <c r="D64" i="30"/>
  <c r="D62" i="30"/>
  <c r="D61" i="30"/>
  <c r="G61" i="30" s="1"/>
  <c r="D58" i="30"/>
  <c r="D31" i="30"/>
  <c r="D26" i="30"/>
  <c r="D23" i="30"/>
  <c r="D22" i="30"/>
  <c r="D21" i="30"/>
  <c r="D16" i="30"/>
  <c r="D14" i="30"/>
  <c r="D11" i="30"/>
  <c r="D9" i="30"/>
  <c r="D152" i="30"/>
  <c r="D100" i="30"/>
  <c r="D91" i="30"/>
  <c r="D87" i="30"/>
  <c r="D86" i="30"/>
  <c r="D85" i="30"/>
  <c r="D84" i="30"/>
  <c r="D83" i="30"/>
  <c r="D82" i="30"/>
  <c r="H58" i="30"/>
  <c r="D34" i="30"/>
  <c r="D37" i="30" s="1"/>
  <c r="D27" i="30"/>
  <c r="D15" i="30"/>
  <c r="D10" i="30"/>
  <c r="D8" i="30"/>
  <c r="B162" i="39"/>
  <c r="B161" i="39"/>
  <c r="B160" i="39"/>
  <c r="B158" i="39"/>
  <c r="B157" i="39"/>
  <c r="A155" i="39"/>
  <c r="B154" i="39"/>
  <c r="A154" i="39"/>
  <c r="B153" i="39"/>
  <c r="A153" i="39"/>
  <c r="D140" i="39"/>
  <c r="D122" i="39"/>
  <c r="D8" i="39"/>
  <c r="D79" i="39"/>
  <c r="D71" i="39"/>
  <c r="D74" i="39" s="1"/>
  <c r="D42" i="39"/>
  <c r="D44" i="39"/>
  <c r="D43" i="39"/>
  <c r="D24" i="39"/>
  <c r="D36" i="39"/>
  <c r="D35" i="39"/>
  <c r="D32" i="39"/>
  <c r="D30" i="39"/>
  <c r="D31" i="39"/>
  <c r="D25" i="39"/>
  <c r="D23" i="39"/>
  <c r="D16" i="39"/>
  <c r="D10" i="39"/>
  <c r="D133" i="39"/>
  <c r="D89" i="39"/>
  <c r="D81" i="39"/>
  <c r="D75" i="39"/>
  <c r="D77" i="39" s="1"/>
  <c r="D83" i="39" s="1"/>
  <c r="B2" i="39"/>
  <c r="B231" i="38"/>
  <c r="A231" i="38"/>
  <c r="B230" i="38"/>
  <c r="A230" i="38"/>
  <c r="B229" i="38"/>
  <c r="A229" i="38"/>
  <c r="B228" i="38"/>
  <c r="A228" i="38"/>
  <c r="B227" i="38"/>
  <c r="A227" i="38"/>
  <c r="B226" i="38"/>
  <c r="A226" i="38"/>
  <c r="B225" i="38"/>
  <c r="A225" i="38"/>
  <c r="D198" i="38"/>
  <c r="D182" i="38"/>
  <c r="D154" i="38"/>
  <c r="D151" i="38"/>
  <c r="D148" i="38"/>
  <c r="D149" i="38" s="1"/>
  <c r="D147" i="38"/>
  <c r="D124" i="38"/>
  <c r="D130" i="38" s="1"/>
  <c r="D122" i="38"/>
  <c r="D53" i="41" l="1"/>
  <c r="D69" i="41"/>
  <c r="D39" i="30"/>
  <c r="D35" i="30"/>
  <c r="D19" i="39"/>
  <c r="D153" i="38"/>
  <c r="D150" i="38"/>
  <c r="D20" i="39" l="1"/>
  <c r="D152" i="38"/>
  <c r="D102" i="38" l="1"/>
  <c r="D101" i="38"/>
  <c r="D103" i="38" s="1"/>
  <c r="D95" i="38"/>
  <c r="D96" i="38" s="1"/>
  <c r="D85" i="38"/>
  <c r="D76" i="38"/>
  <c r="D79" i="38" s="1"/>
  <c r="D69" i="38"/>
  <c r="D68" i="38"/>
  <c r="D71" i="38"/>
  <c r="D67" i="38"/>
  <c r="D66" i="38"/>
  <c r="D34" i="38"/>
  <c r="D34" i="37"/>
  <c r="D34" i="36"/>
  <c r="D34" i="35"/>
  <c r="D31" i="35"/>
  <c r="D31" i="37"/>
  <c r="D31" i="36"/>
  <c r="D31" i="38"/>
  <c r="D70" i="38"/>
  <c r="D30" i="38"/>
  <c r="D25" i="38"/>
  <c r="D24" i="38"/>
  <c r="D23" i="38"/>
  <c r="D20" i="38"/>
  <c r="D11" i="38"/>
  <c r="D10" i="38"/>
  <c r="B224" i="38"/>
  <c r="A224" i="38"/>
  <c r="B223" i="38"/>
  <c r="A223" i="38"/>
  <c r="B222" i="38"/>
  <c r="A222" i="38"/>
  <c r="B221" i="38"/>
  <c r="A221" i="38"/>
  <c r="B219" i="38"/>
  <c r="A219" i="38"/>
  <c r="B218" i="38"/>
  <c r="A218" i="38"/>
  <c r="D175" i="38"/>
  <c r="G125" i="38"/>
  <c r="D138" i="38"/>
  <c r="D135" i="38"/>
  <c r="D87" i="38"/>
  <c r="D80" i="38"/>
  <c r="H29" i="38"/>
  <c r="D9" i="38"/>
  <c r="D13" i="38" s="1"/>
  <c r="B2" i="38"/>
  <c r="B217" i="37"/>
  <c r="A217" i="37"/>
  <c r="B216" i="37"/>
  <c r="A216" i="37"/>
  <c r="D189" i="37"/>
  <c r="A207" i="37"/>
  <c r="A208" i="37"/>
  <c r="A210" i="37"/>
  <c r="A211" i="37"/>
  <c r="A212" i="37"/>
  <c r="A213" i="37"/>
  <c r="A214" i="37"/>
  <c r="A215" i="37"/>
  <c r="A218" i="37"/>
  <c r="D123" i="37"/>
  <c r="D139" i="37" s="1"/>
  <c r="D125" i="37"/>
  <c r="D142" i="37" s="1"/>
  <c r="D97" i="37"/>
  <c r="D98" i="37" s="1"/>
  <c r="D86" i="37"/>
  <c r="D77" i="37"/>
  <c r="D72" i="37"/>
  <c r="D70" i="37"/>
  <c r="D69" i="37"/>
  <c r="D68" i="37"/>
  <c r="D67" i="37"/>
  <c r="D173" i="37"/>
  <c r="D71" i="37"/>
  <c r="D30" i="37"/>
  <c r="D25" i="37"/>
  <c r="D24" i="37"/>
  <c r="D23" i="37"/>
  <c r="D20" i="37"/>
  <c r="D11" i="37"/>
  <c r="D10" i="37"/>
  <c r="B218" i="37"/>
  <c r="B215" i="37"/>
  <c r="B214" i="37"/>
  <c r="B213" i="37"/>
  <c r="B212" i="37"/>
  <c r="B211" i="37"/>
  <c r="B210" i="37"/>
  <c r="B208" i="37"/>
  <c r="B207" i="37"/>
  <c r="D166" i="37"/>
  <c r="D103" i="37"/>
  <c r="D102" i="37"/>
  <c r="D104" i="37" s="1"/>
  <c r="D88" i="37"/>
  <c r="D81" i="37"/>
  <c r="D84" i="37" s="1"/>
  <c r="D9" i="37"/>
  <c r="D13" i="37" s="1"/>
  <c r="B2" i="37"/>
  <c r="D168" i="36"/>
  <c r="D120" i="36"/>
  <c r="D118" i="36"/>
  <c r="D76" i="36"/>
  <c r="D79" i="36" s="1"/>
  <c r="D68" i="36"/>
  <c r="D67" i="36"/>
  <c r="D66" i="36"/>
  <c r="D25" i="36"/>
  <c r="D24" i="36"/>
  <c r="D23" i="36"/>
  <c r="D70" i="36"/>
  <c r="D30" i="36"/>
  <c r="D20" i="36"/>
  <c r="D11" i="36"/>
  <c r="D10" i="36"/>
  <c r="B201" i="36"/>
  <c r="B200" i="36"/>
  <c r="B199" i="36"/>
  <c r="B198" i="36"/>
  <c r="B197" i="36"/>
  <c r="B196" i="36"/>
  <c r="B195" i="36"/>
  <c r="B193" i="36"/>
  <c r="B192" i="36"/>
  <c r="D161" i="36"/>
  <c r="D101" i="36"/>
  <c r="D100" i="36"/>
  <c r="D95" i="36"/>
  <c r="D86" i="36"/>
  <c r="D84" i="36"/>
  <c r="D80" i="36"/>
  <c r="D71" i="36"/>
  <c r="D69" i="36"/>
  <c r="H38" i="36"/>
  <c r="H29" i="36"/>
  <c r="D9" i="36"/>
  <c r="B2" i="36"/>
  <c r="D167" i="35"/>
  <c r="D124" i="35"/>
  <c r="D117" i="35"/>
  <c r="D119" i="35"/>
  <c r="D99" i="35"/>
  <c r="D93" i="35"/>
  <c r="D83" i="35"/>
  <c r="D79" i="35"/>
  <c r="D75" i="35"/>
  <c r="D78" i="35" s="1"/>
  <c r="D70" i="35"/>
  <c r="D69" i="35"/>
  <c r="D68" i="35"/>
  <c r="D67" i="35"/>
  <c r="D66" i="35"/>
  <c r="D65" i="35"/>
  <c r="D24" i="35"/>
  <c r="D30" i="35"/>
  <c r="D25" i="35"/>
  <c r="D23" i="35"/>
  <c r="D20" i="35"/>
  <c r="D11" i="35"/>
  <c r="D10" i="35"/>
  <c r="B2" i="35"/>
  <c r="B208" i="35"/>
  <c r="B207" i="35"/>
  <c r="B206" i="35"/>
  <c r="B205" i="35"/>
  <c r="B204" i="35"/>
  <c r="B203" i="35"/>
  <c r="B202" i="35"/>
  <c r="B201" i="35"/>
  <c r="B199" i="35"/>
  <c r="B198" i="35"/>
  <c r="D160" i="35"/>
  <c r="D98" i="35"/>
  <c r="D85" i="35"/>
  <c r="D9" i="35"/>
  <c r="D13" i="35" s="1"/>
  <c r="D83" i="38" l="1"/>
  <c r="D97" i="38"/>
  <c r="D14" i="38"/>
  <c r="D80" i="37"/>
  <c r="D89" i="37"/>
  <c r="D14" i="37"/>
  <c r="D129" i="37"/>
  <c r="D99" i="37"/>
  <c r="D134" i="36"/>
  <c r="D96" i="36"/>
  <c r="D97" i="36" s="1"/>
  <c r="D102" i="36"/>
  <c r="D13" i="36"/>
  <c r="D82" i="36"/>
  <c r="D137" i="36"/>
  <c r="D81" i="35"/>
  <c r="D86" i="35" s="1"/>
  <c r="D100" i="35"/>
  <c r="D136" i="35"/>
  <c r="D123" i="35"/>
  <c r="D14" i="35"/>
  <c r="D133" i="35"/>
  <c r="D94" i="35"/>
  <c r="D88" i="38" l="1"/>
  <c r="D16" i="38"/>
  <c r="D133" i="37"/>
  <c r="D16" i="37"/>
  <c r="D87" i="36"/>
  <c r="D14" i="36"/>
  <c r="D124" i="36"/>
  <c r="D16" i="35"/>
  <c r="D95" i="35"/>
  <c r="D127" i="35"/>
  <c r="D128" i="35" s="1"/>
  <c r="D18" i="38" l="1"/>
  <c r="D134" i="37"/>
  <c r="D135" i="37"/>
  <c r="D18" i="37"/>
  <c r="D16" i="36"/>
  <c r="D128" i="36"/>
  <c r="D129" i="35"/>
  <c r="D18" i="35"/>
  <c r="D26" i="38" l="1"/>
  <c r="D29" i="38"/>
  <c r="D29" i="37"/>
  <c r="D26" i="37"/>
  <c r="D18" i="36"/>
  <c r="D129" i="36"/>
  <c r="D130" i="36"/>
  <c r="D26" i="35"/>
  <c r="D29" i="35"/>
  <c r="D29" i="36" l="1"/>
  <c r="D26" i="36"/>
  <c r="D113" i="33" l="1"/>
  <c r="D114" i="33"/>
  <c r="D109" i="33"/>
  <c r="D110" i="33" s="1"/>
  <c r="B122" i="34"/>
  <c r="B120" i="34"/>
  <c r="D106" i="34"/>
  <c r="D86" i="34"/>
  <c r="D84" i="34"/>
  <c r="D53" i="34"/>
  <c r="D46" i="34"/>
  <c r="D47" i="34" s="1"/>
  <c r="D52" i="34"/>
  <c r="D36" i="34"/>
  <c r="D34" i="34"/>
  <c r="B2" i="34"/>
  <c r="D138" i="33"/>
  <c r="D139" i="33" s="1"/>
  <c r="D147" i="33"/>
  <c r="D144" i="33"/>
  <c r="D135" i="33"/>
  <c r="D129" i="33"/>
  <c r="D125" i="33"/>
  <c r="D95" i="33"/>
  <c r="D84" i="33"/>
  <c r="D79" i="33"/>
  <c r="D78" i="33"/>
  <c r="D77" i="33"/>
  <c r="D76" i="33"/>
  <c r="D75" i="33"/>
  <c r="D74" i="33"/>
  <c r="D97" i="33"/>
  <c r="D89" i="33"/>
  <c r="D92" i="33" s="1"/>
  <c r="D99" i="33" s="1"/>
  <c r="D43" i="33"/>
  <c r="D39" i="33"/>
  <c r="D36" i="33"/>
  <c r="D34" i="33"/>
  <c r="D35" i="33"/>
  <c r="D29" i="33"/>
  <c r="D28" i="33"/>
  <c r="D27" i="33"/>
  <c r="D24" i="33"/>
  <c r="D22" i="33"/>
  <c r="D19" i="33"/>
  <c r="D16" i="33"/>
  <c r="D9" i="33"/>
  <c r="D12" i="33" s="1"/>
  <c r="B2" i="33"/>
  <c r="D111" i="33" l="1"/>
  <c r="D115" i="33"/>
  <c r="D83" i="34"/>
  <c r="D48" i="34"/>
  <c r="D54" i="34"/>
  <c r="D38" i="34"/>
  <c r="D145" i="33"/>
  <c r="D88" i="33"/>
  <c r="D13" i="33"/>
  <c r="D127" i="27"/>
  <c r="D105" i="27"/>
  <c r="D96" i="27"/>
  <c r="D90" i="27"/>
  <c r="D91" i="27" s="1"/>
  <c r="D92" i="27" s="1"/>
  <c r="D95" i="27"/>
  <c r="D72" i="27"/>
  <c r="D82" i="27"/>
  <c r="D80" i="27"/>
  <c r="D76" i="27"/>
  <c r="D78" i="27" s="1"/>
  <c r="D97" i="27" l="1"/>
  <c r="D84" i="27"/>
  <c r="D85" i="27" s="1"/>
  <c r="D75" i="27"/>
  <c r="D67" i="27"/>
  <c r="D66" i="27"/>
  <c r="D65" i="27"/>
  <c r="D64" i="27"/>
  <c r="D63" i="27"/>
  <c r="D62" i="27"/>
  <c r="D42" i="27"/>
  <c r="D41" i="27"/>
  <c r="D40" i="27"/>
  <c r="D34" i="27"/>
  <c r="D33" i="27"/>
  <c r="D30" i="27"/>
  <c r="D29" i="27"/>
  <c r="D22" i="27"/>
  <c r="D15" i="27"/>
  <c r="D18" i="27" s="1"/>
  <c r="D8" i="27" l="1"/>
  <c r="D9" i="27" s="1"/>
  <c r="D120" i="27"/>
  <c r="D19" i="27" l="1"/>
  <c r="B2" i="9" l="1"/>
  <c r="D8" i="9"/>
  <c r="D10" i="9"/>
  <c r="D28" i="9"/>
  <c r="D32" i="9"/>
  <c r="D34" i="9"/>
  <c r="D35" i="9"/>
  <c r="D36" i="9"/>
  <c r="D37" i="9"/>
  <c r="D38" i="9"/>
  <c r="C65" i="9"/>
  <c r="D65" i="9"/>
  <c r="D21" i="31" l="1"/>
  <c r="D18" i="31"/>
  <c r="D25" i="31"/>
  <c r="B40" i="31" l="1"/>
  <c r="B38" i="31"/>
  <c r="D27" i="31"/>
  <c r="B2" i="31"/>
  <c r="D10" i="31"/>
  <c r="D94" i="30" l="1"/>
  <c r="D95" i="30"/>
  <c r="D98" i="30" s="1"/>
  <c r="D111" i="30"/>
  <c r="D112" i="30" s="1"/>
  <c r="D116" i="30"/>
  <c r="D117" i="30" s="1"/>
  <c r="B2" i="30"/>
  <c r="D161" i="30"/>
  <c r="D204" i="30"/>
  <c r="D205" i="30"/>
  <c r="D206" i="30"/>
  <c r="D207" i="30"/>
  <c r="D208" i="30"/>
  <c r="D209" i="30"/>
  <c r="D104" i="30" l="1"/>
  <c r="D113" i="30"/>
  <c r="D118" i="30"/>
  <c r="D94" i="25"/>
  <c r="D93" i="25"/>
  <c r="D38" i="25"/>
  <c r="D37" i="25"/>
  <c r="D36" i="25"/>
  <c r="D62" i="11" l="1"/>
  <c r="D58" i="11"/>
  <c r="D47" i="11"/>
  <c r="D40" i="11" l="1"/>
  <c r="D41" i="11" l="1"/>
  <c r="D48" i="30" l="1"/>
  <c r="D45" i="30"/>
  <c r="D51" i="30" l="1"/>
  <c r="D135" i="30" s="1"/>
  <c r="B2" i="27" l="1"/>
  <c r="D13" i="10" l="1"/>
  <c r="D14" i="10" s="1"/>
  <c r="D34" i="5"/>
  <c r="D15" i="5"/>
  <c r="D11" i="5"/>
  <c r="B9" i="13" l="1"/>
  <c r="D11" i="11" l="1"/>
  <c r="F54" i="13" l="1"/>
</calcChain>
</file>

<file path=xl/sharedStrings.xml><?xml version="1.0" encoding="utf-8"?>
<sst xmlns="http://schemas.openxmlformats.org/spreadsheetml/2006/main" count="4120" uniqueCount="1780">
  <si>
    <t>FINISHES</t>
  </si>
  <si>
    <t>PAGE</t>
  </si>
  <si>
    <t>A</t>
  </si>
  <si>
    <t>B</t>
  </si>
  <si>
    <t>C</t>
  </si>
  <si>
    <t>D</t>
  </si>
  <si>
    <t>E</t>
  </si>
  <si>
    <t>F</t>
  </si>
  <si>
    <t>SM</t>
  </si>
  <si>
    <t>LM</t>
  </si>
  <si>
    <t>No.</t>
  </si>
  <si>
    <t xml:space="preserve"> </t>
  </si>
  <si>
    <t>ITEM NO.</t>
  </si>
  <si>
    <t>DESCRIPTION</t>
  </si>
  <si>
    <t xml:space="preserve">UNIT </t>
  </si>
  <si>
    <t>INDEX</t>
  </si>
  <si>
    <t>PARTIES</t>
  </si>
  <si>
    <t>SITE</t>
  </si>
  <si>
    <t>SPECIAL NOTES</t>
  </si>
  <si>
    <t xml:space="preserve"> SECTION NO. 1</t>
  </si>
  <si>
    <t>PRELIMINARY PARTICULARS</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</si>
  <si>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</si>
  <si>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</si>
  <si>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</si>
  <si>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</si>
  <si>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Carried To Collection</t>
  </si>
  <si>
    <t xml:space="preserve">     </t>
  </si>
  <si>
    <t xml:space="preserve"> GENERAL MATTERS</t>
  </si>
  <si>
    <t>SUFFICIENCY OF TENDER</t>
  </si>
  <si>
    <t>STAMP CHARGES</t>
  </si>
  <si>
    <t xml:space="preserve">The Contractor shall allow for the payment of all Stamp Charges in connection with the Surety </t>
  </si>
  <si>
    <t>Bond and Contract Agreement.</t>
  </si>
  <si>
    <t>DEFINITIONS AND ABBREVIATIONS</t>
  </si>
  <si>
    <t>Terms used in these Bills of Quantities shall be interpreted as follows:</t>
  </si>
  <si>
    <t>PROGRESS SCHEDULE</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</si>
  <si>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</si>
  <si>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</si>
  <si>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</si>
  <si>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</si>
  <si>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FIGURED DIMENSIONS</t>
  </si>
  <si>
    <t>PROVISIONAL WORK</t>
  </si>
  <si>
    <t>EXISTING SERVICES</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</si>
  <si>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</si>
  <si>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</si>
  <si>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</si>
  <si>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</si>
  <si>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</si>
  <si>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PUBLIC AND PRIVATE ROADS, PAVEMENTS, ETC.</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</si>
  <si>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</si>
  <si>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</si>
  <si>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</si>
  <si>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</si>
  <si>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</si>
  <si>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</si>
  <si>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</si>
  <si>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</si>
  <si>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</si>
  <si>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</si>
  <si>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</si>
  <si>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</si>
  <si>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</si>
  <si>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LIGHTING AND POWER</t>
  </si>
  <si>
    <t>SAFETY</t>
  </si>
  <si>
    <t>PROTECTIVE CLOTHING</t>
  </si>
  <si>
    <t xml:space="preserve">The Contractor shall provide all protective or any other special  clothing or equipment for their </t>
  </si>
  <si>
    <t xml:space="preserve">employees that may be necessary. </t>
  </si>
  <si>
    <t xml:space="preserve">   </t>
  </si>
  <si>
    <t>MATERIALS AND WORKMANSHIP</t>
  </si>
  <si>
    <t>GENERALLY</t>
  </si>
  <si>
    <t xml:space="preserve">All materials and workmanship shall, unless otherwise specified or described, conform to the </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</si>
  <si>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</si>
  <si>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</si>
  <si>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</si>
  <si>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REJECTED WORKMANSHIP OR MATERIALS</t>
  </si>
  <si>
    <t>PROPRIETARY MATERIALS</t>
  </si>
  <si>
    <t xml:space="preserve">Where proprietary materials are specified herein-after the Contractor may propose the use of </t>
  </si>
  <si>
    <t>materials of other manufacture but equal quality for approval by the Architect.</t>
  </si>
  <si>
    <t xml:space="preserve">         </t>
  </si>
  <si>
    <t>SAMPLES</t>
  </si>
  <si>
    <t>CONCRETE TESTS</t>
  </si>
  <si>
    <t xml:space="preserve">Concrete test cubes I.e. per set of three as later described, including testing fees, labour </t>
  </si>
  <si>
    <t xml:space="preserve"> are promptly dispatched to the Architect's and Quantity Surveyor's offices.  </t>
  </si>
  <si>
    <t>Successful tests only (Provisional)</t>
  </si>
  <si>
    <t xml:space="preserve">              </t>
  </si>
  <si>
    <t>TEMPORARY WORKS</t>
  </si>
  <si>
    <t>SPACE AND SERVICES FOR THE ARCHITECT</t>
  </si>
  <si>
    <t xml:space="preserve">TELEPHONE                             </t>
  </si>
  <si>
    <t>SANITATION</t>
  </si>
  <si>
    <t xml:space="preserve">The Contractor shall make arrangements for the necessary toilet facilities for their staff and </t>
  </si>
  <si>
    <t xml:space="preserve">workmen to the requirements and satisfaction of the Health authorities and maintain the same </t>
  </si>
  <si>
    <t>PLANT, TOOLS AND SCAFFOLDING</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</si>
  <si>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</si>
  <si>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</si>
  <si>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</si>
  <si>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 xml:space="preserve">Scaffolding is not measured hereinafter, and the Contractor must allow here or in his rates for </t>
  </si>
  <si>
    <t>the above.</t>
  </si>
  <si>
    <t>EXISTING AND ADJACENT PROPERTY</t>
  </si>
  <si>
    <t xml:space="preserve">The Contractor will be held fully responsible for the safety of the existing and adjacent buildings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</si>
  <si>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</si>
  <si>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</si>
  <si>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</si>
  <si>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</si>
  <si>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</si>
  <si>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</si>
  <si>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</si>
  <si>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noise or by way of trespass.</t>
  </si>
  <si>
    <t>WATCHING AND LIGHTING</t>
  </si>
  <si>
    <t xml:space="preserve">The Contractor shall provide at their risk and cost all watching and lighting as necessary to </t>
  </si>
  <si>
    <t>safeguard the Works, plant and materials against damage and theft.</t>
  </si>
  <si>
    <t>SIGNBOARD</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</si>
  <si>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</si>
  <si>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</si>
  <si>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</si>
  <si>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</si>
  <si>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PROTECTION AND CLEANING</t>
  </si>
  <si>
    <t>PROTECTION</t>
  </si>
  <si>
    <t xml:space="preserve">weather, all finished work and unfixed materials, including that of Sub-Contractors, etc., to the </t>
  </si>
  <si>
    <t xml:space="preserve">satisfaction of the Architect until the completion of the Contract.    </t>
  </si>
  <si>
    <t>CLEANING</t>
  </si>
  <si>
    <t xml:space="preserve">       </t>
  </si>
  <si>
    <t xml:space="preserve"> Collection</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</si>
  <si>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</si>
  <si>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</si>
  <si>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</si>
  <si>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The site of the works shall be used solely for the purpose of executing and completing the</t>
  </si>
  <si>
    <t xml:space="preserve"> Contract to the satisfaction of the Architect.</t>
  </si>
  <si>
    <t>areas for materials.</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</si>
  <si>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</si>
  <si>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</si>
  <si>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</si>
  <si>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measured and value assessed by the Quantity Surveyor and the amount credited to the </t>
  </si>
  <si>
    <t xml:space="preserve">Employer.   </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</si>
  <si>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</si>
  <si>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</si>
  <si>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</si>
  <si>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</si>
  <si>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</si>
  <si>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 xml:space="preserve">The Contractor shall, upon receiving instructions to proceed with the work, draw up a Time </t>
  </si>
  <si>
    <t xml:space="preserve">and Progress Schedule setting out the order in which the Works are to be carried out with the </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</si>
  <si>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</si>
  <si>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</si>
  <si>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</si>
  <si>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</si>
  <si>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</si>
  <si>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</si>
  <si>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</si>
  <si>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</si>
  <si>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</si>
  <si>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</si>
  <si>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</si>
  <si>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</si>
  <si>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</si>
  <si>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</si>
  <si>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</si>
  <si>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</si>
  <si>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</si>
  <si>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</si>
  <si>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</si>
  <si>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</si>
  <si>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</si>
  <si>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</si>
  <si>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</si>
  <si>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</si>
  <si>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</si>
  <si>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</si>
  <si>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</si>
  <si>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</si>
  <si>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</si>
  <si>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</si>
  <si>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</si>
  <si>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</si>
  <si>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</si>
  <si>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</si>
  <si>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</si>
  <si>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</si>
  <si>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</si>
  <si>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</si>
  <si>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</si>
  <si>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</si>
  <si>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</si>
  <si>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</si>
  <si>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</si>
  <si>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</si>
  <si>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</si>
  <si>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</si>
  <si>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</si>
  <si>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</si>
  <si>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</si>
  <si>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</si>
  <si>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</si>
  <si>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</si>
  <si>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</si>
  <si>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</si>
  <si>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</si>
  <si>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</si>
  <si>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</si>
  <si>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</si>
  <si>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</si>
  <si>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</si>
  <si>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</si>
  <si>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appropriate Kenya Bureau of Standards or British Standards Institution Specification current </t>
  </si>
  <si>
    <t>at the date of tender.</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</si>
  <si>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</si>
  <si>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</si>
  <si>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</si>
  <si>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</si>
  <si>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</si>
  <si>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</si>
  <si>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</si>
  <si>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 xml:space="preserve">All materials and goods, where specified to be obtained from a particular manufacturer or </t>
  </si>
  <si>
    <t>supplier are to be used or fixed strictly in accordance with their instructions.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</si>
  <si>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</si>
  <si>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</si>
  <si>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</si>
  <si>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</si>
  <si>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</si>
  <si>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</si>
  <si>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</si>
  <si>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</si>
  <si>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</si>
  <si>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</si>
  <si>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</si>
  <si>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</si>
  <si>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</si>
  <si>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</si>
  <si>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</si>
  <si>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</si>
  <si>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</si>
  <si>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 xml:space="preserve">in a thoroughly clean and sanitary condition and pay all conservancy fees during the period of </t>
  </si>
  <si>
    <t xml:space="preserve">the Works and remove when no longer required.  </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</si>
  <si>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</si>
  <si>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</si>
  <si>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</si>
  <si>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</si>
  <si>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</si>
  <si>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</si>
  <si>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</si>
  <si>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as may be necessary to comply with any amendments in or additions to such regulations.</t>
  </si>
  <si>
    <t>force throughout the period of the Contract and shall be altered or adapted during the Contract</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</si>
  <si>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</si>
  <si>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</si>
  <si>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</si>
  <si>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at his own expense and indemnify the Employer against any loss.</t>
  </si>
  <si>
    <t>and for any damage caused in consequence of these Works. They must reinstate all damages</t>
  </si>
  <si>
    <t xml:space="preserve">nuisance from dust, noise or any other cause to the occupiers of the existing and adjacent </t>
  </si>
  <si>
    <t xml:space="preserve">property. </t>
  </si>
  <si>
    <t xml:space="preserve">The Signboard and lettering on same for the display of the General and Sub-Contractors' </t>
  </si>
  <si>
    <t>names shall be of an approved size with the Employer's name painted thereon. The Architect's</t>
  </si>
  <si>
    <t xml:space="preserve">cost of the unit only.  The Contractor's price must include for the cost of the unit at the rate </t>
  </si>
  <si>
    <t>stated, plus waste, taking delivery, storage, fixing in position, profit and overheads.</t>
  </si>
  <si>
    <t>stated.</t>
  </si>
  <si>
    <t>The Contractor  shall  cover up  and protect  from  damage, including damage from inclement</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</si>
  <si>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</si>
  <si>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</si>
  <si>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</si>
  <si>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</si>
  <si>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</si>
  <si>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</si>
  <si>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</si>
  <si>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</si>
  <si>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ITEM</t>
  </si>
  <si>
    <t>GRAND SUMMARY</t>
  </si>
  <si>
    <t xml:space="preserve">SIGNED:  </t>
  </si>
  <si>
    <t>Address: ………………………………………………………………………………………………………………………………………</t>
  </si>
  <si>
    <t>Tel No: ………………………………………………………………………………………………………………………………………</t>
  </si>
  <si>
    <t>Date: ……………………………………………………………………………………………………………………………………………</t>
  </si>
  <si>
    <t>SIGNED:</t>
  </si>
  <si>
    <t>Address:  ……………………………………………………………………………………………………………………………………</t>
  </si>
  <si>
    <t>Date: ………………………………………………………………………………………………………………………………………….</t>
  </si>
  <si>
    <t xml:space="preserve">The Contractor shall obtain the Architect's approval for the siting of all temporary storage </t>
  </si>
  <si>
    <t xml:space="preserve">The Contractors shall visit the site to acquaint themselves with its nature and position, the </t>
  </si>
  <si>
    <t xml:space="preserve">appropriate dates thereof. This Time and Progress Schedule is to be agreed with the Architect </t>
  </si>
  <si>
    <t>conditions are not being observed, and no claim arising from such a suspension will be allowed.</t>
  </si>
  <si>
    <t>and materials, making moulds, transport and handling etc.. and ensuing copies of tests</t>
  </si>
  <si>
    <t xml:space="preserve">The Contractor must take such steps and exercise such care and diligence as to minimize </t>
  </si>
  <si>
    <t>such other users and preventing and minimizing any nuisance arising from dust,</t>
  </si>
  <si>
    <r>
      <t>Allow for Provisional length of 100 meters @</t>
    </r>
    <r>
      <rPr>
        <u/>
        <sz val="11"/>
        <rFont val="Tahoma"/>
        <family val="2"/>
      </rPr>
      <t xml:space="preserve">                 </t>
    </r>
    <r>
      <rPr>
        <sz val="11"/>
        <rFont val="Tahoma"/>
        <family val="2"/>
      </rPr>
      <t>(tenderer to insert rate and extend)</t>
    </r>
  </si>
  <si>
    <t xml:space="preserve">Where description of items include a P.C. rate per unit this rate is to cover the net supply </t>
  </si>
  <si>
    <t xml:space="preserve">The actual net cost per unit will be adjusted within the Final Account against the P.C. rate </t>
  </si>
  <si>
    <t>US$</t>
  </si>
  <si>
    <t xml:space="preserve">Excavations including maintaining and supporting sides </t>
  </si>
  <si>
    <t>and keeping free from water, mud and fallen material</t>
  </si>
  <si>
    <t>CM</t>
  </si>
  <si>
    <t>Disposal</t>
  </si>
  <si>
    <t xml:space="preserve">Return, fill and ram selected excavated material around </t>
  </si>
  <si>
    <t>Plain concrete class 15 in:</t>
  </si>
  <si>
    <t>Reinforcement, as described:-[PROVISIONAL]</t>
  </si>
  <si>
    <t>Kg</t>
  </si>
  <si>
    <t>WALLING</t>
  </si>
  <si>
    <t>PRELIMINARIES AND GENERAL DESCRIPTIONS</t>
  </si>
  <si>
    <t>TOTAL FOR SECTION 1: PRELIMINARIES AND GENERAL DESCRIPTIONS CARRIED TO GRAND SUMMARY</t>
  </si>
  <si>
    <t>SECTION 1: PRELIMINARIES AND GENERAL DESCRIPTIONS</t>
  </si>
  <si>
    <t xml:space="preserve">including 25mm wide x 20 gauge hoop iron at every </t>
  </si>
  <si>
    <t>alternate course as described in:</t>
  </si>
  <si>
    <t>ELEMENT NO. 1</t>
  </si>
  <si>
    <t>Damp-proof membrane</t>
  </si>
  <si>
    <t xml:space="preserve">Fabric ref. A142 weighing 2.22kg/ sq.metre, in surface </t>
  </si>
  <si>
    <t>cement and sand (1:4) mortar, reinforcement with and</t>
  </si>
  <si>
    <t>REINFORCED CONCRETE FRAME</t>
  </si>
  <si>
    <t>15 mm cement and sand (1:3) render, finished with</t>
  </si>
  <si>
    <t>Concrete or masonry surfaces externally</t>
  </si>
  <si>
    <t>Floor Finishes</t>
  </si>
  <si>
    <t>Cement and sand (1:3) screeds, backings, beds etc</t>
  </si>
  <si>
    <t>Painting and decorating</t>
  </si>
  <si>
    <t>No</t>
  </si>
  <si>
    <t>NO</t>
  </si>
  <si>
    <t>foundations</t>
  </si>
  <si>
    <t>Anti-termite treatment</t>
  </si>
  <si>
    <t>bed</t>
  </si>
  <si>
    <t>DESCRIPTIONS</t>
  </si>
  <si>
    <t xml:space="preserve">Lighting Fittings </t>
  </si>
  <si>
    <t xml:space="preserve">Switches </t>
  </si>
  <si>
    <t>5 Amps one gang one way switch</t>
  </si>
  <si>
    <t xml:space="preserve">Socket outlets </t>
  </si>
  <si>
    <t>Socket outlet points</t>
  </si>
  <si>
    <t>13 A twin sockets outlet</t>
  </si>
  <si>
    <t xml:space="preserve">Final circuit Wiring </t>
  </si>
  <si>
    <t>Lighting points</t>
  </si>
  <si>
    <t>M</t>
  </si>
  <si>
    <t>3 speed box fan with 20 inch blades</t>
  </si>
  <si>
    <t>Nr.</t>
  </si>
  <si>
    <t>Top soil excavation average 200mm deep</t>
  </si>
  <si>
    <t>Ground beam</t>
  </si>
  <si>
    <t>SUPER-STRUCTURE WALLING</t>
  </si>
  <si>
    <r>
      <t>The site is located on</t>
    </r>
    <r>
      <rPr>
        <b/>
        <sz val="11"/>
        <rFont val="Tahoma"/>
        <family val="2"/>
      </rPr>
      <t xml:space="preserve"> BAIDOA DISTRICT</t>
    </r>
  </si>
  <si>
    <t>m</t>
  </si>
  <si>
    <t>1.50 meters deep, starting from stripped levels</t>
  </si>
  <si>
    <t>75x50mm purlins</t>
  </si>
  <si>
    <t>Unit</t>
  </si>
  <si>
    <t>Item</t>
  </si>
  <si>
    <t>UNIT</t>
  </si>
  <si>
    <t>QTY</t>
  </si>
  <si>
    <t>RATE</t>
  </si>
  <si>
    <t>Clear site of all bushes and debris. Grab up roots and</t>
  </si>
  <si>
    <t>burn the arisings</t>
  </si>
  <si>
    <t>ELEMENT NO. 2 : SUBSTRUCTURES (PROVISIONAL)</t>
  </si>
  <si>
    <t>meters deep, starting from stripped levels</t>
  </si>
  <si>
    <t xml:space="preserve">Load, wheel and cart deposit and spread surplus </t>
  </si>
  <si>
    <t xml:space="preserve">excavated material where directed on site at a </t>
  </si>
  <si>
    <t>distance not exceeding  100 meters</t>
  </si>
  <si>
    <t>ELEMENT NO. 3 : CONCRETE WORKS</t>
  </si>
  <si>
    <t xml:space="preserve">Insitu concrete class 25/20 , vibrated and reinforced as described, in:- </t>
  </si>
  <si>
    <t>BEAMS</t>
  </si>
  <si>
    <t>Ring beam 1</t>
  </si>
  <si>
    <t>SLABS</t>
  </si>
  <si>
    <t>To edge of floor slab</t>
  </si>
  <si>
    <t>Ditto to sides and soffits of roof slab</t>
  </si>
  <si>
    <t>Ditto, wall plate</t>
  </si>
  <si>
    <t xml:space="preserve">Ditto, 100mm diameter down pipe fixed with brackets to wall at 1000mm maximum centers </t>
  </si>
  <si>
    <t>ELEMENT NO. 6 : FINISHES</t>
  </si>
  <si>
    <t>C.M</t>
  </si>
  <si>
    <t>KG</t>
  </si>
  <si>
    <t>S.M</t>
  </si>
  <si>
    <t>EXCAVATION</t>
  </si>
  <si>
    <t xml:space="preserve">Excavate trench for foundation not exceeding </t>
  </si>
  <si>
    <t>Disposal of excavated materials</t>
  </si>
  <si>
    <t>Cart away surplus excavated material</t>
  </si>
  <si>
    <t>Return fill and compact selected excavated materials around foundations</t>
  </si>
  <si>
    <t>Insitu concrete ; reinforced;class 20/(20mm): vibrated</t>
  </si>
  <si>
    <t xml:space="preserve">Construction of RCC beams of the floor and Collumn bases roof slab 0.2mx0.2mx8x2 </t>
  </si>
  <si>
    <t>Assorted steel bars 4 No 12Ǿ at spacing of staff 200mm@Cc</t>
  </si>
  <si>
    <t xml:space="preserve">Construction of RCC columns with dimensions  0.4mx0.4mx7m </t>
  </si>
  <si>
    <t>Assorted steel bars for column footing  both directions @ 16Ǿ spacing 200mm Cc</t>
  </si>
  <si>
    <t xml:space="preserve"> RCC mat foundation trench  and RCCA footings columns assorted steel bars for </t>
  </si>
  <si>
    <t>footing both directions 12diam specing 250mm@c-c</t>
  </si>
  <si>
    <t xml:space="preserve">Construction of RCC floor and roof slab for guard tower 2mx2mx0.2m </t>
  </si>
  <si>
    <t xml:space="preserve">steel bars of the floor&amp; roof slab both  X-direction </t>
  </si>
  <si>
    <t>Reinforcement( all provisional)</t>
  </si>
  <si>
    <t>Assorted bars</t>
  </si>
  <si>
    <t>In-situ concrete</t>
  </si>
  <si>
    <t>Mass concrete( 1.3.6/38-38mm aggregate)</t>
  </si>
  <si>
    <t>50mm thick mass concrete class Q(1:3:6) to bottoms of columns bases</t>
  </si>
  <si>
    <t>Sawn formwork to insitu concrete as described:-</t>
  </si>
  <si>
    <t>to sides of  suspended Slabs</t>
  </si>
  <si>
    <t>Ditto: sides of Columns bases</t>
  </si>
  <si>
    <t>Ditto: Beams</t>
  </si>
  <si>
    <t>To sides of the wall</t>
  </si>
  <si>
    <t>Toside of columns</t>
  </si>
  <si>
    <t>ELEMENT NO.4</t>
  </si>
  <si>
    <t>200mm  thick reinforced concrete walling  cast</t>
  </si>
  <si>
    <t>cement and sand -aggregate  (1:2:4) mortar, reinforcement with 12mm diam re bars</t>
  </si>
  <si>
    <t xml:space="preserve">200mm thick Reinforced concrete Retaining Wall </t>
  </si>
  <si>
    <t>at height of 1.4m class Q (1:3:6) at the top of Slab</t>
  </si>
  <si>
    <t>MC</t>
  </si>
  <si>
    <t>ELEMENT NO.5</t>
  </si>
  <si>
    <t>Wall finishes</t>
  </si>
  <si>
    <t>Plaster; 12mm thick 2 No. coatwork, generally to: -</t>
  </si>
  <si>
    <t xml:space="preserve">9mm first coat of cement sand (1:6); 3mm </t>
  </si>
  <si>
    <t xml:space="preserve">second coat of cement and lime putty (1:10); </t>
  </si>
  <si>
    <t xml:space="preserve">steel trowelled toconcrete or blockwork base </t>
  </si>
  <si>
    <t>Walls, and Columns</t>
  </si>
  <si>
    <t>Painting and decorations</t>
  </si>
  <si>
    <t xml:space="preserve">Prepare and apply three coats of first </t>
  </si>
  <si>
    <t>quality silk vinyl paint to: -</t>
  </si>
  <si>
    <t>Plastered surfaces</t>
  </si>
  <si>
    <t>Floor finishes</t>
  </si>
  <si>
    <t>Beds or Backings</t>
  </si>
  <si>
    <t>Screed; cement and sand (1:3)</t>
  </si>
  <si>
    <t xml:space="preserve">40mm thick one coat backings; wood floated </t>
  </si>
  <si>
    <t xml:space="preserve">to concrete base; smooth trowelled in red-oxide; </t>
  </si>
  <si>
    <t>to floors level; internal</t>
  </si>
  <si>
    <t>ELEMENT NO.6</t>
  </si>
  <si>
    <t>STEEL LADDER</t>
  </si>
  <si>
    <t xml:space="preserve">Supply and Provide 3m and 500mm wide Vertical </t>
  </si>
  <si>
    <t xml:space="preserve">ladder with railings on both sides to access </t>
  </si>
  <si>
    <t>the Observation Post</t>
  </si>
  <si>
    <t>ELEMENT NO.7</t>
  </si>
  <si>
    <t>LIGHTING</t>
  </si>
  <si>
    <t xml:space="preserve">Supply all materials and mount 4 LED 150W floodlights </t>
  </si>
  <si>
    <t>on either side of the towers</t>
  </si>
  <si>
    <t>Page Total Brought Forward</t>
  </si>
  <si>
    <t>Plastic sheeting</t>
  </si>
  <si>
    <t>200mm thick normal soil backfill</t>
  </si>
  <si>
    <t>Page Total Carried Forward</t>
  </si>
  <si>
    <t>Solar Streetlights</t>
  </si>
  <si>
    <t>TOTAL CARRIED TO MAIN SUMMARY</t>
  </si>
  <si>
    <t>PROPOSED WOMEN TRANSITION CENTER  BAIDOA</t>
  </si>
  <si>
    <t>PROPOSED WOMEN TRANSITION CENTER BAIDOA</t>
  </si>
  <si>
    <t xml:space="preserve">RATE </t>
  </si>
  <si>
    <t xml:space="preserve">Site Clearance </t>
  </si>
  <si>
    <t>Excavate for foundation not exceeding 0.3</t>
  </si>
  <si>
    <t>Extra over for excavation in rock</t>
  </si>
  <si>
    <t>Ditto Column bases</t>
  </si>
  <si>
    <t xml:space="preserve">100mm blinding </t>
  </si>
  <si>
    <t xml:space="preserve">maximum aggregate size in as described, in:- </t>
  </si>
  <si>
    <t>COLUMNS</t>
  </si>
  <si>
    <t>Columns bases</t>
  </si>
  <si>
    <t>Starter columns</t>
  </si>
  <si>
    <t>Columns (Height 6m)</t>
  </si>
  <si>
    <t>High yield square twisted reinforcement bars to B.S 4461 including cutting bending and tying</t>
  </si>
  <si>
    <t xml:space="preserve">Y12 (Nominal Diameter 12mm) bars as main bars, </t>
  </si>
  <si>
    <t>Cross-Sectional Area (113mm2), Mass per unit length (0.888kg/m)</t>
  </si>
  <si>
    <t xml:space="preserve">R8 (Nominal Diameter 8mm) bars as rings, </t>
  </si>
  <si>
    <t>Cross-Sectional Area (50.3mm2), Mass per unit length (0.395kg/m)</t>
  </si>
  <si>
    <t>Cross-Sectional Area (201mm2), Mass per unit length (1.579kg/m)</t>
  </si>
  <si>
    <t>Y12 (Nominal Diameter 12mm) bars as main bars tops 2</t>
  </si>
  <si>
    <t>Ditto to sides and soffits of base slab</t>
  </si>
  <si>
    <t>Ditto to walls</t>
  </si>
  <si>
    <t>200 mm thick reinforced wall</t>
  </si>
  <si>
    <t>25mm Thick cement/sand (1:4) screed finish</t>
  </si>
  <si>
    <t>Floor slab</t>
  </si>
  <si>
    <t>wood float to:-</t>
  </si>
  <si>
    <t>Ditto for columns</t>
  </si>
  <si>
    <t xml:space="preserve">Galvanized Mild Steel pipes class "B" medium thickness with and </t>
  </si>
  <si>
    <t>including jointing, fittings and fixe as described</t>
  </si>
  <si>
    <t>Supply and install 50mm diameter inlet pipe 800mm long</t>
  </si>
  <si>
    <t>Supply and install 50mm diameter draw off pipe Ditto</t>
  </si>
  <si>
    <t>Supply and install 50mm diameter overflow pipe Ditto</t>
  </si>
  <si>
    <t>Supply and install 75mm diameter scour pipe Ditto</t>
  </si>
  <si>
    <t>Supply and install 20mm diameter brass gate valve with wheel and head</t>
  </si>
  <si>
    <t>Supply and install 20mm diameter stop corks</t>
  </si>
  <si>
    <t>Supply and install 600x600x6mm heavy gauge steel primed metal manhole cover on slab with and including metal framing all around</t>
  </si>
  <si>
    <t>Supply and install 20mm Diameter bars, ‘U’ shaped to form steps with ends embedded into retaining wall, average length 450mm</t>
  </si>
  <si>
    <t>ELEMENT 6: GATES</t>
  </si>
  <si>
    <t>STEEL FRAME</t>
  </si>
  <si>
    <t xml:space="preserve">with three layers that is bonded by 2'' (50mm) dia. </t>
  </si>
  <si>
    <t>Pipe as Per drawing.</t>
  </si>
  <si>
    <t xml:space="preserve">Supply and Provide C Section Steel strips for fastening </t>
  </si>
  <si>
    <t>the Steel Barrier.</t>
  </si>
  <si>
    <t xml:space="preserve">Supply and Provide Plate for filling mass Concrete to </t>
  </si>
  <si>
    <t>Balance the Steel Barrier.</t>
  </si>
  <si>
    <t>MASS CONCRETE FRAME</t>
  </si>
  <si>
    <t xml:space="preserve">Fill the Box with Mass Concrete </t>
  </si>
  <si>
    <t xml:space="preserve">Allow a provisional sum for painting and </t>
  </si>
  <si>
    <t>the Steel Barriers on site</t>
  </si>
  <si>
    <r>
      <t>m</t>
    </r>
    <r>
      <rPr>
        <vertAlign val="superscript"/>
        <sz val="11"/>
        <color indexed="8"/>
        <rFont val="Calibri"/>
        <family val="2"/>
        <scheme val="minor"/>
      </rPr>
      <t>2</t>
    </r>
  </si>
  <si>
    <t>Load, wheel and cart deposit and spread surplus excavated material where directed on site at a distance not exceeding  100 meters</t>
  </si>
  <si>
    <t xml:space="preserve">Supply and install following lighting fixtures with all accessories as per the specifications and drawings and complete with lamp fitting and accessories of Engineer or approved make. </t>
  </si>
  <si>
    <t>Sum</t>
  </si>
  <si>
    <t xml:space="preserve">Item </t>
  </si>
  <si>
    <t>Qty</t>
  </si>
  <si>
    <t>Formwork</t>
  </si>
  <si>
    <t>lm</t>
  </si>
  <si>
    <t>Description</t>
  </si>
  <si>
    <t>BILL NO. 1 - PRELIMINARY ITEMS</t>
  </si>
  <si>
    <t>Rate</t>
  </si>
  <si>
    <t>ELEMENT NO. 1 : SUB-STRUCTURES (all provisional)</t>
  </si>
  <si>
    <t>Excavate over site 200 mm deep to remove vegetable soil and cart away to spoil heap where directed on site</t>
  </si>
  <si>
    <t>To the edges of ground slabs 100 - 200mm wide</t>
  </si>
  <si>
    <t>Reinforcement</t>
  </si>
  <si>
    <t>Mesh reinforcement reference A142 weighing 2.22kg/m2 in ground slabs</t>
  </si>
  <si>
    <t>Concrete Works</t>
  </si>
  <si>
    <t>150 mm Ground floor slab</t>
  </si>
  <si>
    <t>Floor Finish</t>
  </si>
  <si>
    <t>Cement and sand (1:3) screeds</t>
  </si>
  <si>
    <t xml:space="preserve">25mm Thick cement/sand (1:4) screed steel trowelled </t>
  </si>
  <si>
    <t>Construct to specification steps and rumps as indicated on the drawing</t>
  </si>
  <si>
    <t>Excavate 1.5m diameter x 3.5m depth pit each</t>
  </si>
  <si>
    <t>TOTAL CARRIED TO GRAND SUMMARY</t>
  </si>
  <si>
    <t>Reference A142 mesh 200 x 200 mm , weight 2.22 kgs per square meter ( measured net - no allowance made for laps (inclunding bends, tying wire and distance blocks)</t>
  </si>
  <si>
    <t xml:space="preserve"> Fixed to fascia board (ms)</t>
  </si>
  <si>
    <t>Watering &amp; compacting for the foundation bed</t>
  </si>
  <si>
    <t>Laying 100 mm Thick blinding layer under foundation wall as the foundation bed</t>
  </si>
  <si>
    <t xml:space="preserve"> vibrated R.c.c class 25</t>
  </si>
  <si>
    <t>Form to Work</t>
  </si>
  <si>
    <t>Element No.3 Finishing Work</t>
  </si>
  <si>
    <t>Prepare and apply 3coats weatherguard paint to rendered walls</t>
  </si>
  <si>
    <t>25mm cement sand two coat render to walls with wood float finish. Both internally and externally</t>
  </si>
  <si>
    <t>3.1.1</t>
  </si>
  <si>
    <t>3.1.2</t>
  </si>
  <si>
    <r>
      <t>m</t>
    </r>
    <r>
      <rPr>
        <vertAlign val="superscript"/>
        <sz val="11"/>
        <color indexed="8"/>
        <rFont val="Calibri"/>
        <family val="2"/>
      </rPr>
      <t>2</t>
    </r>
  </si>
  <si>
    <r>
      <t>m</t>
    </r>
    <r>
      <rPr>
        <vertAlign val="superscript"/>
        <sz val="11"/>
        <color indexed="8"/>
        <rFont val="Calibri"/>
        <family val="2"/>
      </rPr>
      <t>3</t>
    </r>
  </si>
  <si>
    <t>25 x 200mm Ridge board</t>
  </si>
  <si>
    <t>Rainwater disposal</t>
  </si>
  <si>
    <t xml:space="preserve">Extra over ditto for 600mm swanneck projection </t>
  </si>
  <si>
    <t>Ditto shoe</t>
  </si>
  <si>
    <t>Knot, prime, stop and apply 3 coats oil paint externally to:</t>
  </si>
  <si>
    <t>Metal gutter</t>
  </si>
  <si>
    <t>3.3.1</t>
  </si>
  <si>
    <t>Work tops and Bottom Cabinets</t>
  </si>
  <si>
    <t>3.9.1</t>
  </si>
  <si>
    <t>Concrete class 20 in 50mm thick plinth and work top</t>
  </si>
  <si>
    <t xml:space="preserve">No. A 142 Fabric mesh reinforcement weighing 2.22 kg per metre square fixed in slab </t>
  </si>
  <si>
    <t>Formwork to  of slab</t>
  </si>
  <si>
    <t>Formwork to edge of slab. 50mm high</t>
  </si>
  <si>
    <t xml:space="preserve">Plaster to soffit of slab and bottom </t>
  </si>
  <si>
    <t>Ceramic tiles to worktop including screed</t>
  </si>
  <si>
    <t>Veneered mahogany 20mm thick in cupboard doors, divisions and shelves</t>
  </si>
  <si>
    <t>Malpa Hinges</t>
  </si>
  <si>
    <t>Pairs</t>
  </si>
  <si>
    <t>Allow for fitting sink to worktop</t>
  </si>
  <si>
    <t xml:space="preserve">Supply and apply three coats of gloss paint as finish </t>
  </si>
  <si>
    <t>Over head Cabinets</t>
  </si>
  <si>
    <t>MDF for bearers, support cupboard doors and division and shelves nailed and hang as per the drawings</t>
  </si>
  <si>
    <t xml:space="preserve">Supply and fix malpa hinges </t>
  </si>
  <si>
    <t>Boarding</t>
  </si>
  <si>
    <t xml:space="preserve">WROT CYPRESS, Prime Grade </t>
  </si>
  <si>
    <t>32 x 250 mm Fascia board fixed to rafters</t>
  </si>
  <si>
    <t>Ditto but 3 coats gloss oil paint to fascia board 100-200mm girth</t>
  </si>
  <si>
    <t>TOILET PIT</t>
  </si>
  <si>
    <t xml:space="preserve">Stripping of surface and excavation for latrine pit in soft soil up to depth of </t>
  </si>
  <si>
    <t>approximately 1.8m; pit dimensions: 2m width x 4m length</t>
  </si>
  <si>
    <t>Excavation for latrine pit in hard rock at a depth approximately starting at 1.8 M</t>
  </si>
  <si>
    <t xml:space="preserve">Reinforced concrete class 25, </t>
  </si>
  <si>
    <t>Reinforcement, as described (PROVISIONAL)</t>
  </si>
  <si>
    <t>High yield square twisted reinforcement to BS 4461</t>
  </si>
  <si>
    <t>10mm high tensile square twisted bars; cold worked; BS4461 including bends, hooks, tying wire, distance blocks and spacers for bottom slab; Y10@ 200mm c/c .</t>
  </si>
  <si>
    <t>Supply and fix sawn formwork to sides of bottom slab</t>
  </si>
  <si>
    <t>L.M</t>
  </si>
  <si>
    <t xml:space="preserve">200x400mm block walling bedded and jointed in </t>
  </si>
  <si>
    <t>Sub-Structure walling</t>
  </si>
  <si>
    <t xml:space="preserve">Supply all materials and cast a 125mm thick vibrated reinforced </t>
  </si>
  <si>
    <t xml:space="preserve">concrete slab, mix1:2:4 or class 20/20. Top slab dimensions 2.5m x 5.0m </t>
  </si>
  <si>
    <t xml:space="preserve">10mm high tensile square twisted bars; cold worked; BS4461 </t>
  </si>
  <si>
    <t xml:space="preserve">including bends, hooks, tying wire, distance blocks and spacers for </t>
  </si>
  <si>
    <t>top slab; Y10@ 200mm c/c .</t>
  </si>
  <si>
    <t>Supply and fix sawn formwork beneath the slab</t>
  </si>
  <si>
    <t>Manhole frame and covers</t>
  </si>
  <si>
    <t>Pcs.</t>
  </si>
  <si>
    <t>Tank piping, fittings and accessories which includes among others ring bearers anchored in the wall and a 2.5 m heigh 4'' vent pipe with rain cower and fly net</t>
  </si>
  <si>
    <t>4" brown sewer pipes with accessories laid with 1% slope in trench of 0.5 to 0.8 m depth</t>
  </si>
  <si>
    <t>Supply all materials and cast R.C. buffer beam, 100mm wide x 450mm deep, concrete class 20</t>
  </si>
  <si>
    <t>12mm high tensile square twisted bars; cold worked; BS4461 including bends, hooks, tying wire, distance blocks and spacers for ring beam reinforcement, 4Y12</t>
  </si>
  <si>
    <t>13mm thick two coat cement sand (1:3) plaster trowelled smooth and comprising 12mm backing and 3mm finishing coat for internal walls.</t>
  </si>
  <si>
    <t>130mm thick vibrated reinforced concrete for bottom slab (concrete class 20)</t>
  </si>
  <si>
    <t>Water Tanks</t>
  </si>
  <si>
    <t>Supply and fix No. 10000 L each plastic tanks</t>
  </si>
  <si>
    <t>The Contractor is required to check the numbers of the pages and should any be found to be missing or  in duplicate or the figures or writing indistinct, they must inform the Quantity Surveyors at once and have the same rectified.  Should the Contractor be in doubt about the precise meaning of any item, word or figure, for any reason whatsoever, or observe any apparent omission of words or figures they must inform the Quantity Surveyor in order that the correct meaning may be decided upon before the date for the submission of the Tender.</t>
  </si>
  <si>
    <t>No liability whatever will be admitted nor claim allowed in respect of errors in the Contractor's Tender due to mistakes in the Bills of Quantities which should have been rectified in the manner described above.</t>
  </si>
  <si>
    <t>Any doubt or obscurity as to the meaning or intention of any part of the tender documents, or any question arising, shall be taken up in writing, before submission of the tender so that the same can be clarified.</t>
  </si>
  <si>
    <t>The Contractor shall not alter or otherwise qualify the text of these Bills of Quantities. Any alteration or qualification made without authority will be ignored and the text of the Bills of Quantities as printed will be adhered to.</t>
  </si>
  <si>
    <t>The Contractor shall be deemed to have made allowance in their prices generally to cover items of Preliminaries or additions to Prime Cost Sums or other items, if these have not been priced against the respective items.</t>
  </si>
  <si>
    <t>All items of measured work shall be priced in detail and tenders containing lump sums to cover trades or groups of work must be broken down to show prices for each item before they will be accepted.Lump sums to cover items of Preliminaries shall likewise be broken down if so required.</t>
  </si>
  <si>
    <t>In no case will any expenses incurred by Contractors in preparation of this Tender be reimbursed.The copyright of these Bills of Quantities is vested in the Quantity Surveyors and no part thereof may be reproduced without their express permission given in writing.</t>
  </si>
  <si>
    <t>SECTION NO. 1 PRELIMINARY AND GENERAL ITEMS</t>
  </si>
  <si>
    <t>SECTION NO. 2 OFFICES</t>
  </si>
  <si>
    <t>SECTION NO. 3: KITCHEN</t>
  </si>
  <si>
    <t>SECTION NO. 4: LATRINES</t>
  </si>
  <si>
    <t>SECTION NO. 5: WATER TANK</t>
  </si>
  <si>
    <t>SECTION NO.6: MOSQUE</t>
  </si>
  <si>
    <t>SECTION NO. 7: SECURITY FENCE</t>
  </si>
  <si>
    <t>SECTION NO. 9: GENERATOR HOUSE</t>
  </si>
  <si>
    <t>SECTION NO. 10: GUARD TOWERS</t>
  </si>
  <si>
    <t>SECTION NO. 11: STREET LIGHTS</t>
  </si>
  <si>
    <t>SECTION NO.12: GATES</t>
  </si>
  <si>
    <t>SECTION NO. 13: STAFF TOILET</t>
  </si>
  <si>
    <t>SUB TOTAL CARRIED TO FORM OF TENDER</t>
  </si>
  <si>
    <t>ADD 10% CONTIGENCY SUM TO BE DISPENSED AT THE INSTRUCTION OF THE CLIENT</t>
  </si>
  <si>
    <t>TOTAL CARRIED TO FORM OF TENDER</t>
  </si>
  <si>
    <r>
      <rPr>
        <b/>
        <sz val="11"/>
        <rFont val="Calibri"/>
        <family val="2"/>
        <scheme val="minor"/>
      </rPr>
      <t>(CONTRACTOR)</t>
    </r>
    <r>
      <rPr>
        <sz val="11"/>
        <rFont val="Calibri"/>
        <family val="2"/>
        <scheme val="minor"/>
      </rPr>
      <t xml:space="preserve"> ……………………………………………………………………………………………………………………</t>
    </r>
  </si>
  <si>
    <r>
      <rPr>
        <b/>
        <sz val="11"/>
        <rFont val="Calibri"/>
        <family val="2"/>
        <scheme val="minor"/>
      </rPr>
      <t>(EMPLOYER )</t>
    </r>
    <r>
      <rPr>
        <sz val="11"/>
        <rFont val="Calibri"/>
        <family val="2"/>
        <scheme val="minor"/>
      </rPr>
      <t xml:space="preserve"> …………………………………………………………………………………………………………………………</t>
    </r>
  </si>
  <si>
    <r>
      <t xml:space="preserve">The "Employer" is </t>
    </r>
    <r>
      <rPr>
        <b/>
        <sz val="11"/>
        <rFont val="Tahoma"/>
        <family val="2"/>
      </rPr>
      <t>INTERNATIONAL ORGANIZATION FOR MIGRATION</t>
    </r>
  </si>
  <si>
    <t>"Approved" shall mean approved by the Architect.</t>
  </si>
  <si>
    <t xml:space="preserve">"as directed" shall mean as directed by the Architect or any other consultant in the contract. </t>
  </si>
  <si>
    <t>"BS" Shall mean the current British Standard Specification published by the British</t>
  </si>
  <si>
    <t xml:space="preserve">    Standards Institution, 2 Park Street, London W.1, England.</t>
  </si>
  <si>
    <t>"CM" shall mean Cubic Meters.</t>
  </si>
  <si>
    <t>"SM" shall mean Square Meters.</t>
  </si>
  <si>
    <t xml:space="preserve">"LM"  shall mean Linear Meters.      </t>
  </si>
  <si>
    <t>"mm" shall mean Millimeters.</t>
  </si>
  <si>
    <t>"Kg" shall mean Kilograms.</t>
  </si>
  <si>
    <t>"No." shall mean Number.</t>
  </si>
  <si>
    <t>"m.s" shall mean Measured separately.</t>
  </si>
  <si>
    <t>"Ditto " shall mean as described before or as above described.</t>
  </si>
  <si>
    <t>Brought forward from Page 2</t>
  </si>
  <si>
    <t>Brought forward from Page 3</t>
  </si>
  <si>
    <t>Brought forward from Page 4</t>
  </si>
  <si>
    <t>Brought forward from Page 5</t>
  </si>
  <si>
    <t>Brought forward from Page 6</t>
  </si>
  <si>
    <t>Brought forward from Page 7</t>
  </si>
  <si>
    <t>G</t>
  </si>
  <si>
    <t>H</t>
  </si>
  <si>
    <t>J</t>
  </si>
  <si>
    <t>K</t>
  </si>
  <si>
    <t>L</t>
  </si>
  <si>
    <t xml:space="preserve">Ceiling </t>
  </si>
  <si>
    <t>Prepare and apply 3 coats emulsion paint to soft board ceilings</t>
  </si>
  <si>
    <t>SAWN TREATED CYPRESS, Grade S50, pressure impregnated (Provisional)</t>
  </si>
  <si>
    <t>LT5 profile gauge 28 prepainted roofing sheets fixed to timber purlins</t>
  </si>
  <si>
    <t>25 x 150mm splice plates</t>
  </si>
  <si>
    <t xml:space="preserve">25x50mm tongued and grooved boarding to eaves  </t>
  </si>
  <si>
    <t>Knot, prime, stop and apply 3 coats polyurethane varnish to eaves boarding</t>
  </si>
  <si>
    <t>150x150mm 24gauge galvanized mild steel box gutter with galvanized steel brackets at 600mm centers</t>
  </si>
  <si>
    <t>Prepare and apply bituminous paint to inside of gutter</t>
  </si>
  <si>
    <t>Wrought hardwood door frames and finishing EX 50x150mm rebated and chamfered to detail</t>
  </si>
  <si>
    <t>20mm quadrant plugged</t>
  </si>
  <si>
    <t>Ditto but for architraves</t>
  </si>
  <si>
    <t>Ironmongery</t>
  </si>
  <si>
    <t>Supply and fix the following to UNION or other equal and approved including matching screws</t>
  </si>
  <si>
    <t>3-lever mortice lock with brass handles</t>
  </si>
  <si>
    <t>100x75mm heavy duty brass butt hinges</t>
  </si>
  <si>
    <t>PRS</t>
  </si>
  <si>
    <t>Black rubber floor mounted doorstop</t>
  </si>
  <si>
    <t>Painting and Decoration</t>
  </si>
  <si>
    <t>Knot, prime, stop and apply 3 coats polyurethane clear varnish to all timber surfaces above.</t>
  </si>
  <si>
    <t>Supply and fix anodised aluminium windows complete with glazing, and burglar proof, 1.4 x 1.4m high</t>
  </si>
  <si>
    <t>Cement and sand (1:3) screed, backing, beds etc.</t>
  </si>
  <si>
    <t>20mm bed finished to receive Non-slip ceramic  floor  tiles (m.s)</t>
  </si>
  <si>
    <r>
      <t>m</t>
    </r>
    <r>
      <rPr>
        <vertAlign val="superscript"/>
        <sz val="12"/>
        <color indexed="8"/>
        <rFont val="Calibri"/>
        <family val="2"/>
      </rPr>
      <t>2</t>
    </r>
  </si>
  <si>
    <t xml:space="preserve"> Non-slip ceramic  floor  tile</t>
  </si>
  <si>
    <t>300X300 x 8 mm thick coloured Ceramic Tiles laid to pattern and shape</t>
  </si>
  <si>
    <t>Supply and installation of fused shuttered switched socket outlet to comply with relevant BS standard (Clipsal, Orange, Crabtree/ Tenby/ABB or equivalent). Wiring (including supply of earth wire and all other material required) of above socket outlet using approved type 2.5mm² PVC/PVC copper cable and 2.5mm² earth wire  drawn through securely fixed concealed PVC conduit in a ring circuit.</t>
  </si>
  <si>
    <t>Unit of 6000 BTUs per hour, with EER 2-3, Cooling capacity 2,700-3000W low noise level and UTR Compressor, minimum warranty 5 years plus as described and shown on drawings. Include required accessories and fittings, mounting should be at least 600mm off the ground.</t>
  </si>
  <si>
    <t>no</t>
  </si>
  <si>
    <t>2.2.1</t>
  </si>
  <si>
    <t>2.2.2</t>
  </si>
  <si>
    <t>2.1.1</t>
  </si>
  <si>
    <t>2.1.2</t>
  </si>
  <si>
    <t>2.3.1</t>
  </si>
  <si>
    <t>2.3.2</t>
  </si>
  <si>
    <t>2.3.3</t>
  </si>
  <si>
    <t>2.3.4</t>
  </si>
  <si>
    <t>2.3.5</t>
  </si>
  <si>
    <t>2.3.6</t>
  </si>
  <si>
    <t>2.3.7</t>
  </si>
  <si>
    <t>2.3.8</t>
  </si>
  <si>
    <t>2.3.9</t>
  </si>
  <si>
    <t>2.3.10</t>
  </si>
  <si>
    <t>2.3.11</t>
  </si>
  <si>
    <t>2.3.12</t>
  </si>
  <si>
    <t>2.3.13</t>
  </si>
  <si>
    <t>2.3.14</t>
  </si>
  <si>
    <t>2.3.15</t>
  </si>
  <si>
    <t>2.3.16</t>
  </si>
  <si>
    <t>2.3.17</t>
  </si>
  <si>
    <t>2.3.18</t>
  </si>
  <si>
    <t>2.3.19</t>
  </si>
  <si>
    <t>2.3.20</t>
  </si>
  <si>
    <t>2.3.21</t>
  </si>
  <si>
    <t>2.3.22</t>
  </si>
  <si>
    <t>2.3.23</t>
  </si>
  <si>
    <t>2.3.24</t>
  </si>
  <si>
    <t>2.3.25</t>
  </si>
  <si>
    <t>2.3.28</t>
  </si>
  <si>
    <t>2.3.29</t>
  </si>
  <si>
    <t>2.3.30</t>
  </si>
  <si>
    <t>2.3.31</t>
  </si>
  <si>
    <t>2.3.32</t>
  </si>
  <si>
    <t>Total for Substructure Carried to Summary</t>
  </si>
  <si>
    <t>BILL SUMMARY</t>
  </si>
  <si>
    <t>Windows</t>
  </si>
  <si>
    <t xml:space="preserve"> Doors</t>
  </si>
  <si>
    <t>TOTAL FOR OFFICES CARRIED TO GRAND SUMMARY</t>
  </si>
  <si>
    <t>QNTY</t>
  </si>
  <si>
    <t>Ring beam 2</t>
  </si>
  <si>
    <t>RATE US$</t>
  </si>
  <si>
    <t xml:space="preserve">Total </t>
  </si>
  <si>
    <t>Carried to Collection</t>
  </si>
  <si>
    <t>MAIN SUMMARY</t>
  </si>
  <si>
    <t>ELEMENT No.</t>
  </si>
  <si>
    <t>2/8</t>
  </si>
  <si>
    <t>3/8</t>
  </si>
  <si>
    <t>4/8</t>
  </si>
  <si>
    <t>5/8</t>
  </si>
  <si>
    <t>6/8</t>
  </si>
  <si>
    <t>8/8</t>
  </si>
  <si>
    <t>RATE (US$)</t>
  </si>
  <si>
    <t xml:space="preserve">Transportation  and inatallation work of </t>
  </si>
  <si>
    <t>PROPOSED  STREETLIGHT INSTALLATION</t>
  </si>
  <si>
    <r>
      <t>m</t>
    </r>
    <r>
      <rPr>
        <vertAlign val="superscript"/>
        <sz val="11"/>
        <color indexed="8"/>
        <rFont val="Calibri"/>
        <family val="2"/>
        <scheme val="minor"/>
      </rPr>
      <t>3</t>
    </r>
    <r>
      <rPr>
        <sz val="11"/>
        <color theme="1"/>
        <rFont val="Calibri"/>
        <family val="2"/>
        <scheme val="minor"/>
      </rPr>
      <t/>
    </r>
  </si>
  <si>
    <t>Gladiator or equal and approved chemical anti-termite treatment, executed complete by an approved specialist  under a ten-year guarantee, to surfaces of blinding</t>
  </si>
  <si>
    <t>75x50mm internal members</t>
  </si>
  <si>
    <t>100 x 50 mm as truss external members</t>
  </si>
  <si>
    <t>Total Carried to Summary</t>
  </si>
  <si>
    <t xml:space="preserve">Total Carried to Summary </t>
  </si>
  <si>
    <t xml:space="preserve">Total  Carried Summary </t>
  </si>
  <si>
    <t xml:space="preserve">Total  carried to  Summary </t>
  </si>
  <si>
    <t>Total  Carried  Summary</t>
  </si>
  <si>
    <t>Clear site of all bushes and debris burn the arising</t>
  </si>
  <si>
    <t>Hard-core or other approved filling, as described</t>
  </si>
  <si>
    <t>300mm thick approved  hard-core filling compacted and laid in layers not exceeding 150 mm thick</t>
  </si>
  <si>
    <t xml:space="preserve">50mm thick Quarry dust  blinding to surfaces of hard-core :rolled smooth to receive polytheen sheeting (m.s) </t>
  </si>
  <si>
    <t>1000 gauge polythene or other equal and approved damp-proof membrane, laid over blinded hard-core (m.s) with 300mm side and end laps (measured nett-allow for laps)</t>
  </si>
  <si>
    <t>Supply and fix soft board as ceiling to and including 50 x 50 mm cypress brandering at 600mm c/c both ways</t>
  </si>
  <si>
    <t>1200mm Energy saving fluorescent tube lighting</t>
  </si>
  <si>
    <t>Wiring and installation (including supply of all materials) of the light points using approved type PVC insulated PVC sheathed 1.5 mm² copper cables and 2.5mm² earth cable drawn through securely fixed concealed PVC conduit, to the walls and slab surfaces Socket outlet points</t>
  </si>
  <si>
    <t>Supply and install following overhead electrical fans with all accessories prices must include all materials, installation, testing and commissioning</t>
  </si>
  <si>
    <t>Supply, fix and commission air conditioning units of Samsung, Daikin, LG or equivalent and approved split air conditioning units including all accessories</t>
  </si>
  <si>
    <t>Backfill with well packed approved hard-core to 2m depth</t>
  </si>
  <si>
    <t>Solid hardwood single leaf panel door 45mm thick overall size 900x2100mm (both faces panelled)</t>
  </si>
  <si>
    <t>Solid hardwood doubleleaf panel door 45mm thick overall size 1800x2100mm (both faces panelled)</t>
  </si>
  <si>
    <t>Construct to specification three fire places as indicated on the drawing</t>
  </si>
  <si>
    <t>75 x 50 mm as truss external members</t>
  </si>
  <si>
    <t>50x50mm internal members</t>
  </si>
  <si>
    <t>50x50mm purlins</t>
  </si>
  <si>
    <t>Solid hardwood single leaf panel door 45mm thick overall size 800x2100mm (both faces panelled)</t>
  </si>
  <si>
    <t>PLUMBING</t>
  </si>
  <si>
    <t xml:space="preserve">COLD WATER DISTRIBUTION </t>
  </si>
  <si>
    <t>Supply and install INDO GREEN PPR pipe to DIN 8077,8078 manufactured as per DIN 16962 and conforming to ISO and EN 15874 standard. All pipe and fitting to conform to PN25</t>
  </si>
  <si>
    <t>Lm</t>
  </si>
  <si>
    <t>25 mm diameter ditto</t>
  </si>
  <si>
    <t>Extra Over Tubbing For:</t>
  </si>
  <si>
    <t>BEND /ELBOWS</t>
  </si>
  <si>
    <t>25mm diameter</t>
  </si>
  <si>
    <t xml:space="preserve"> Tee</t>
  </si>
  <si>
    <t>GATE VALVES</t>
  </si>
  <si>
    <t>Ditto but 25mm diameter</t>
  </si>
  <si>
    <t xml:space="preserve"> Set </t>
  </si>
  <si>
    <t>Pressure booster pump set as Grundfos or equal and approved. Pump: CH2-30   Flow rate: 2m3/hr Complete with 60 litres pressure vessel</t>
  </si>
  <si>
    <t>3,000 litres Cold water tanks as roto, dimensions 1610 mm diameter X1520mm high</t>
  </si>
  <si>
    <t>SOIL AND WASTE DRAINAGE</t>
  </si>
  <si>
    <t>Supply and install the following soil and waste system of pipe and fittings to BS 4514 with the installation of fittings done to manufacturers instruction and BS 5572 1978 as manufactured by "key" terrain" or any other manufacturer approved by the Project Manager. Tenderers must allow in the pipe work prices for all couplings connectors inspection covers, jointings roding eyes pipe fastenings including clips, holderbat sets, and plugging required for the proper and satisfactory functioning system</t>
  </si>
  <si>
    <t>100.4.40 Pipe</t>
  </si>
  <si>
    <t>Lm.</t>
  </si>
  <si>
    <t>200.2.40 ditto</t>
  </si>
  <si>
    <t>200.15.40 ditto</t>
  </si>
  <si>
    <t>200.125.40 ditto</t>
  </si>
  <si>
    <t>Extra Over Pipe For:-</t>
  </si>
  <si>
    <t>1801.4.87 bend</t>
  </si>
  <si>
    <t>180.4.87 long radius bend</t>
  </si>
  <si>
    <t>1848.4 WC connector</t>
  </si>
  <si>
    <t>1849.4. "P" trap</t>
  </si>
  <si>
    <t>1811.4 lip seal connectors</t>
  </si>
  <si>
    <t>102.4.5. connecting bend</t>
  </si>
  <si>
    <t>201.2.91 sweep bend</t>
  </si>
  <si>
    <t>201.15.40 ditto</t>
  </si>
  <si>
    <t>201.125.40 ditto</t>
  </si>
  <si>
    <t>204.125.135 ditto</t>
  </si>
  <si>
    <t>279.2 trapped floor gulley</t>
  </si>
  <si>
    <t>282.6 floor gulley inlet</t>
  </si>
  <si>
    <t>149.14.22 weathering slate</t>
  </si>
  <si>
    <t>150.6 vent cowl</t>
  </si>
  <si>
    <t>Construct a standard 600x450mm Manhole complete with heavy duty manhole cover</t>
  </si>
  <si>
    <t>Gulley traps complete with covers</t>
  </si>
  <si>
    <t>SANITARY FITTINGS</t>
  </si>
  <si>
    <t>PROVIDE RATES FOR SUPPLY, FIXING &amp; TESTING THE FOLLOWING SANITARY FITTINGS</t>
  </si>
  <si>
    <t>Twyfords Envy btw wash down W.C suite with horizontal outlet in Vitreous China comprising of WC pan REF. NV1438WH seat and soft closing cover NV7995WH, Chrome plate hinges, WC outlet Connector P trap or equal and approved.</t>
  </si>
  <si>
    <t>Twyfords concealled pattern Chrome plated flush valve No SF 9303CP complete with flow regulator, flush bend and WC Inlet Connector and waste.</t>
  </si>
  <si>
    <t xml:space="preserve">Chrome plated coat hook for wall mounting </t>
  </si>
  <si>
    <t>Arabic shower complete with all the accessories</t>
  </si>
  <si>
    <t>Twyfords 165 x 165mm build-in toilet roll holder No. VC 9336 WH (to be installed next to every WC pan).</t>
  </si>
  <si>
    <t>Twyfords Envy 500 pedestal wash handbasin No. NV4811WH to BS 3402 comprising: - single centre tap hole, in Vitreous China Ref. WB575100, chain &amp; stay hole, fixing brackets Chrome plated beaded chain waste11/4 waste WF 4330 CP Chrome plated bottle "P' trap 1-1/4 " WF 8482 XX on a pedestal stand NV4910WH</t>
  </si>
  <si>
    <t>Cobra push tap with delay or equal and approved,</t>
  </si>
  <si>
    <t>WALL MIRRORS Twyford bevelled edge polished glass mirror size 900 x 600 x 6mm thick with silver backing with chromium plated dome shaped nuts and brass screws plugged.</t>
  </si>
  <si>
    <t>Allow a sum for connecting to septic tank, testing and commissioning of the drainage system to approval of the Project Manager</t>
  </si>
  <si>
    <t>TOTAL FOR TOILETS CARRIED TO GRAND SUMMARY</t>
  </si>
  <si>
    <t>TOILETS</t>
  </si>
  <si>
    <t>Roof</t>
  </si>
  <si>
    <t>5.3.1</t>
  </si>
  <si>
    <t>5.4.1</t>
  </si>
  <si>
    <t>5.4.2</t>
  </si>
  <si>
    <t>5.1.3</t>
  </si>
  <si>
    <t>5.1.4</t>
  </si>
  <si>
    <t>5.1.5</t>
  </si>
  <si>
    <t>5.1.6</t>
  </si>
  <si>
    <t>Construction of Perimeter fence 1m  off the from the nearest existing wall (255m long) This includes raising existing walls and repairing damaged walls.Total Height 3.5m</t>
  </si>
  <si>
    <t>200mm thick strip footing</t>
  </si>
  <si>
    <t>Excavation for foundation 1000mm deep &amp; 600mm wide</t>
  </si>
  <si>
    <t>Reinforced cement concrete strip footing as described</t>
  </si>
  <si>
    <t>500X200mm strip footing</t>
  </si>
  <si>
    <t>Formwork to R.C Wall</t>
  </si>
  <si>
    <t>1.3 Finishing Work</t>
  </si>
  <si>
    <t>Element No.1 Reinforced Concrete Wall along the road</t>
  </si>
  <si>
    <t>BAIDOA FEMALE TRANSITION CENTRE</t>
  </si>
  <si>
    <t xml:space="preserve">Supply solar panel lights packed with battery, light source socket, controller that regulates batteries and has a low voltage disconnect, light fixture, light fixture mounting bracket, battery box, and the entire solar lighting </t>
  </si>
  <si>
    <t xml:space="preserve">Assemble solar panel lights packed with battery, light source socket, controller that regulates batteries and has a low voltage disconnect, light fixture, light fixture mounting bracket, battery box, and the entire solar lighting mounted to a pole, together with the accessories, cables, etc. </t>
  </si>
  <si>
    <t>Fix or install solar panel lights packed with battery, light source socket, controller that regulates batteries and has a low voltage disconnect, light fixture, light fixture mounting bracket, battery box, and the entire solar lighting mounted to a pole, together with the accessories, cables, etc.</t>
  </si>
  <si>
    <t>SECTION 10: SEPTIC TANK</t>
  </si>
  <si>
    <t xml:space="preserve">Double bowl double drainer stainless steel kitchen sink size 1200 x 600 with bowl size 400 x 340 x 150mm complete with 1 No. Bricon kitchen mixer and tap 40mm waste outlet chain and plug, overflow, 40mmtubular 'P' trap No. WF 8491XX.  Sink to be as "ASL"or equal and approved. The sink to be in heavy duty sheet. </t>
  </si>
  <si>
    <t>Return fill and ram and cartaway extra material to spoils</t>
  </si>
  <si>
    <t>3m height R.C</t>
  </si>
  <si>
    <t xml:space="preserve">Construction of reinforced concrete fence wall of 200mm thick &amp; 3.8 m high from the strip foundation  </t>
  </si>
  <si>
    <t>Class 25/20 Reinfoced concrete</t>
  </si>
  <si>
    <t xml:space="preserve">Reinforcement Steel </t>
  </si>
  <si>
    <t>Supply and fix T10 both ways at a spacing of 200cc</t>
  </si>
  <si>
    <t>HESCO FENCE</t>
  </si>
  <si>
    <t>6.1.1</t>
  </si>
  <si>
    <t>6.1.2</t>
  </si>
  <si>
    <t xml:space="preserve">Prepare Ground as per the structural drawing in readiness for hesco fence. </t>
  </si>
  <si>
    <t>Supply and instal MIL 10 8760 with dimensions 2.21 height and 1.52m wide placed on the prepared ground</t>
  </si>
  <si>
    <t>Ditto but MIL 8 5448R with dimensions  1.37 height x 1.22 wide stacked on top of the  MIL 10</t>
  </si>
  <si>
    <t>Provide sand or appropriate material to fill in the hesco sacks, ensuring that the fence is upright and evenly filled to avoid bulging</t>
  </si>
  <si>
    <t>Razor Wire Fence</t>
  </si>
  <si>
    <t>Supply and place angle posts 50x50x6mm, 1.5  m high, anchored on top of the hesco using 100mm dia uPVC pipes class D placed inside the sand filling, 500mm deep and filled with class 15 concrete (1:3:6). The distance of the angle posts should be 1.5m apart to hold 980mm razor wire (measured seperately), and should be lagged at the bottom for anchorage. Allow for drilling 4 No. holes per angle post</t>
  </si>
  <si>
    <t>Supply and fix 12 Gauge 3mm strenghtening galvanised wire; 4 strands running through the angle posts for fastening razor wire (ms).The 12 Gauge galvanised wire should be tensioned so as have a minimum sag of 20mm from the horizontal.</t>
  </si>
  <si>
    <t>Provide all material and construct a single row of 980mm diameter heavy duty cross type concertina wire to be laid on top of existing HESCO barrier</t>
  </si>
  <si>
    <t>Supply and fix Ø10mm  deformed bars 4T10</t>
  </si>
  <si>
    <t>Supply and fix Ø8mm  deformed bars T8 250 C/C</t>
  </si>
  <si>
    <t>Renovation and strengethening of the existing 6m wide gate, including introduction of a pedestrain gate within the main gate and peepholes in both the main gate and pedestrian gates, of not more than 25mm dia with a sliding door. The doors should be properly anchored on the RC wall.</t>
  </si>
  <si>
    <t xml:space="preserve">Supply and Provide 5'' (12.5cm) dia. Pipe for 7m long </t>
  </si>
  <si>
    <t xml:space="preserve"> Substructure</t>
  </si>
  <si>
    <t>7.3.1</t>
  </si>
  <si>
    <t>7.1.1</t>
  </si>
  <si>
    <t>7.1.2</t>
  </si>
  <si>
    <t>7.1.3</t>
  </si>
  <si>
    <t>7.1.4</t>
  </si>
  <si>
    <t>7.1.5</t>
  </si>
  <si>
    <t>7.1.6</t>
  </si>
  <si>
    <t>7.1.7</t>
  </si>
  <si>
    <t>7.1.9</t>
  </si>
  <si>
    <t>7.1.10</t>
  </si>
  <si>
    <t>RC WALL</t>
  </si>
  <si>
    <t>7.1.8</t>
  </si>
  <si>
    <t>7.1.11</t>
  </si>
  <si>
    <t>7.1.12</t>
  </si>
  <si>
    <t>7.1.13</t>
  </si>
  <si>
    <t>7.1.14</t>
  </si>
  <si>
    <t>7.1.15</t>
  </si>
  <si>
    <t>7.1.16</t>
  </si>
  <si>
    <t>7.4.1</t>
  </si>
  <si>
    <t>7.4.2</t>
  </si>
  <si>
    <t>7.4.3</t>
  </si>
  <si>
    <t>7.5.1</t>
  </si>
  <si>
    <t>7.5.2</t>
  </si>
  <si>
    <t>BOOM BARRIERS</t>
  </si>
  <si>
    <t>7.6.1</t>
  </si>
  <si>
    <t>Page total Brought Forward</t>
  </si>
  <si>
    <t>TOTAL FOR SECURITY FENCES CARRIED TO MAIN SUMMARY</t>
  </si>
  <si>
    <t>SECTION 7: SECURITY FENCES AND GATES</t>
  </si>
  <si>
    <t>necessary formwork in</t>
  </si>
  <si>
    <t xml:space="preserve">150mm thick surface bed laid in bays including all </t>
  </si>
  <si>
    <t>200mm Intermediary Suspended slab</t>
  </si>
  <si>
    <t>200mm Roof slab</t>
  </si>
  <si>
    <t>Insitu concrete class 25/20 , vibrated and reinforced  in</t>
  </si>
  <si>
    <t>COLUMN BASES AND 6 M COLUMNS</t>
  </si>
  <si>
    <t>Y12 (Nominal Diameter 12mm) bars spanning both ways</t>
  </si>
  <si>
    <t>REINFORCEMENT</t>
  </si>
  <si>
    <t>GROUND SLAB</t>
  </si>
  <si>
    <t>SUSPENDED SLABS - 2 NO.</t>
  </si>
  <si>
    <t>Ventilated parapet wall with block walling leaving gaps 200mm wide, total height 1m high as wind breaker</t>
  </si>
  <si>
    <t>m2</t>
  </si>
  <si>
    <t>Ditto outside all slabs</t>
  </si>
  <si>
    <t>6.3.1</t>
  </si>
  <si>
    <t>6.4.1</t>
  </si>
  <si>
    <t>6.4.2</t>
  </si>
  <si>
    <t>6.4.3</t>
  </si>
  <si>
    <t>6.4.4</t>
  </si>
  <si>
    <t>6.4.5</t>
  </si>
  <si>
    <t>6.4.6</t>
  </si>
  <si>
    <t>6.5.1</t>
  </si>
  <si>
    <t>6.6.1</t>
  </si>
  <si>
    <t>6.7.1</t>
  </si>
  <si>
    <t>FORMWORK</t>
  </si>
  <si>
    <t>6.8.1</t>
  </si>
  <si>
    <t>6.8.2</t>
  </si>
  <si>
    <t>6.7.2</t>
  </si>
  <si>
    <t>6.7.3</t>
  </si>
  <si>
    <t>6.7.4</t>
  </si>
  <si>
    <t>6.9.1</t>
  </si>
  <si>
    <t>PLUMBING INSTALLATIONS</t>
  </si>
  <si>
    <t>6.10.1</t>
  </si>
  <si>
    <t>Provisional sum for piping and valves to various points</t>
  </si>
  <si>
    <t>Page total Carried forward</t>
  </si>
  <si>
    <t xml:space="preserve">Excavation </t>
  </si>
  <si>
    <t>Clear site of all bushes and debris, including grubbing up roots and clearing away.</t>
  </si>
  <si>
    <t xml:space="preserve"> Excavate 1500mm deep by 600mm wide for wall foundations </t>
  </si>
  <si>
    <t xml:space="preserve">Disposal of excavated materials </t>
  </si>
  <si>
    <t>Backfill and compact selected excavated material : compact in layers  not exceeding 150mm thick</t>
  </si>
  <si>
    <t>Surplus excavated materials : remove from site</t>
  </si>
  <si>
    <t xml:space="preserve">Quarry dust blinding </t>
  </si>
  <si>
    <t>50mm Quarry dust blinding over hardcore : compacted : to receive  floor bed (ms)</t>
  </si>
  <si>
    <t>BRC Reinforcement</t>
  </si>
  <si>
    <t>Mesh reference A142 weighing 2.22 kilogrammes per square metre  to surface beds</t>
  </si>
  <si>
    <t>50mm Blinding layer : under strip foundations</t>
  </si>
  <si>
    <t xml:space="preserve">Insitu concrete : class 25/20 mm : vibrated : reinforced  </t>
  </si>
  <si>
    <t>Strip footing</t>
  </si>
  <si>
    <t>200*300mm Ground beam</t>
  </si>
  <si>
    <t xml:space="preserve">150mm Thick surface bed </t>
  </si>
  <si>
    <t xml:space="preserve">Steel Bar Reinforcement </t>
  </si>
  <si>
    <t>High yield square twisted rod reinforcement to BS 4461 and Mild</t>
  </si>
  <si>
    <t xml:space="preserve"> steel bar reinforcement to BS 4449 (all provisional) </t>
  </si>
  <si>
    <t>8mm diameter bars,</t>
  </si>
  <si>
    <t>kg</t>
  </si>
  <si>
    <t>12mm diameter bars</t>
  </si>
  <si>
    <t xml:space="preserve">Sawn formwork : to </t>
  </si>
  <si>
    <t>Vertical sides : wall foundations</t>
  </si>
  <si>
    <t>Vertical edges : beds over 75 but not exceeding 150mm wide</t>
  </si>
  <si>
    <t xml:space="preserve">Foundation wall </t>
  </si>
  <si>
    <t xml:space="preserve">Selected natural masonry stones (minimum 7.0N/mm) regular,  coursed rough chisel dressed on all faces : exposed substructure  walls shall include regular coursed walling of uniform colour and  texture : fine dressed smooth finish to external face : bedded and  jointed in cement and sand (1:3) mortar : Extra over external fine  dressed wall for 10 x 10mm recessed horizontal joints with  vertical flush joints : pointed in cement grout : wire brush stone  work after keywork </t>
  </si>
  <si>
    <t>200mm Foundation walls</t>
  </si>
  <si>
    <t>ELEMENT NO. 2 - SUPERSTRUCTURE</t>
  </si>
  <si>
    <t>DOORS AND IRON MONGERY</t>
  </si>
  <si>
    <t xml:space="preserve">                 </t>
  </si>
  <si>
    <t xml:space="preserve">Timber flush doors </t>
  </si>
  <si>
    <t>Single leaf door overall size 900 x 2200mm high  Door  Wooden Door- Hinged- Two Leaves , including furnishing, installation, frames, sub frames, hardware, accessories, anchorage, finishing, etc</t>
  </si>
  <si>
    <t xml:space="preserve">Door overall size 900 x 2100mm high </t>
  </si>
  <si>
    <t>Provide and fix Purpose made steel casement 1000x1200mm windows  including all cutting welding, filling and grinding to smooth finish with and including approved hinges, fasteners, strays and painted with one coat of red oxide primer before fixing.</t>
  </si>
  <si>
    <t xml:space="preserve">INTERNAL FINISHES </t>
  </si>
  <si>
    <t xml:space="preserve">Screeds </t>
  </si>
  <si>
    <t>Cement and sand (1:4) mortar screed beds : wood float finished</t>
  </si>
  <si>
    <t xml:space="preserve"> to receive ceramic tile floor finish (m.s) :  on concrete </t>
  </si>
  <si>
    <t>5.1.1</t>
  </si>
  <si>
    <t>40mm Thick screed beds</t>
  </si>
  <si>
    <t xml:space="preserve">Ceramic tiles </t>
  </si>
  <si>
    <t xml:space="preserve">Supply and fix 1st quality floor tiles : colour to Architects  selected/approval :  bedded on cement and sand (1:4)  screed beds  (ms) with cement : pointed and grouted in matching colour grout:  allow fo laying diagonally where directed  </t>
  </si>
  <si>
    <t>Ceramic tile floor finish</t>
  </si>
  <si>
    <t>100mm high skirtings</t>
  </si>
  <si>
    <t xml:space="preserve">Plaster works </t>
  </si>
  <si>
    <t>15 mm Thick Lime plaster : steel trowelled finish : on concrete or</t>
  </si>
  <si>
    <t xml:space="preserve"> blockwork : to </t>
  </si>
  <si>
    <t>Walls and beams</t>
  </si>
  <si>
    <t xml:space="preserve">Paint work </t>
  </si>
  <si>
    <t>Prepare and apply three coats 1st grade plastic  emulsion paint to</t>
  </si>
  <si>
    <t xml:space="preserve"> approval : on </t>
  </si>
  <si>
    <t>Prepare internal surfaces and paint  to match existing colour</t>
  </si>
  <si>
    <r>
      <t>m</t>
    </r>
    <r>
      <rPr>
        <vertAlign val="superscript"/>
        <sz val="11"/>
        <rFont val="Calibri"/>
        <family val="2"/>
      </rPr>
      <t>2</t>
    </r>
  </si>
  <si>
    <t>Prepare external surfaces and paint  to match existing colour</t>
  </si>
  <si>
    <t>Supply and  fix wall  shelves  300x400mm heigh made of 20mm thick cut and joined MDF pannels 1200mm high by 1800mm wide</t>
  </si>
  <si>
    <t xml:space="preserve">ITEM No. </t>
  </si>
  <si>
    <t>6000mm High Chainlink fencing with 25x25x3mm SHS posts at 3.00 metres centres with 4 No. holes for and including 12.5 gauge galvanised straining wires and 50mm square 12 gauge galvanised chainlink mesh securely attached to straining wires with 18 SWG annealed iron wire with 300mm length of steel post below ground set in and including plain concrete class 20 base size 300x300x300mm deep, all necessary excavation, formwork, backfilling and disposal</t>
  </si>
  <si>
    <r>
      <t>m</t>
    </r>
    <r>
      <rPr>
        <vertAlign val="superscript"/>
        <sz val="11"/>
        <rFont val="Calibri"/>
        <family val="2"/>
        <scheme val="minor"/>
      </rPr>
      <t>2</t>
    </r>
  </si>
  <si>
    <t>ELEMENT NO. 1: PLAY GROUND</t>
  </si>
  <si>
    <t>ELEMENT NO. 2: WALKWAYS</t>
  </si>
  <si>
    <t>Site Clearing</t>
  </si>
  <si>
    <t>Barrier Fence</t>
  </si>
  <si>
    <t>Excavate 200mm deep for hardcore filling</t>
  </si>
  <si>
    <r>
      <t>m</t>
    </r>
    <r>
      <rPr>
        <vertAlign val="superscript"/>
        <sz val="11"/>
        <color indexed="8"/>
        <rFont val="Calibri"/>
        <family val="2"/>
        <scheme val="minor"/>
      </rPr>
      <t>3</t>
    </r>
  </si>
  <si>
    <t>100 mm Ground floor slab providing expansion joints every 4m of walkway trowelled to rough finish</t>
  </si>
  <si>
    <t>Total for 3 No. Guard Towers</t>
  </si>
  <si>
    <t xml:space="preserve">Bars; high yield steel; cold worked to B.S. 4461 including bends, hooks, tying wire and distance blocks of assorted diameter </t>
  </si>
  <si>
    <t>12.1.1</t>
  </si>
  <si>
    <t>12.1.2</t>
  </si>
  <si>
    <t>12.2.1</t>
  </si>
  <si>
    <t>12.2.2</t>
  </si>
  <si>
    <t>12.2.3</t>
  </si>
  <si>
    <t>12.2.4</t>
  </si>
  <si>
    <t>12.2.5</t>
  </si>
  <si>
    <t>12.2.6</t>
  </si>
  <si>
    <t>12.2.7</t>
  </si>
  <si>
    <t>12.3.1</t>
  </si>
  <si>
    <t>12.3.2</t>
  </si>
  <si>
    <t>12.3.3</t>
  </si>
  <si>
    <t>12.3.4</t>
  </si>
  <si>
    <t>12.3.5</t>
  </si>
  <si>
    <t>12.3.6</t>
  </si>
  <si>
    <t>12.3.7</t>
  </si>
  <si>
    <t>12.3.8</t>
  </si>
  <si>
    <t>12.3.9</t>
  </si>
  <si>
    <t>12.3.10</t>
  </si>
  <si>
    <t>12.4.1</t>
  </si>
  <si>
    <t>12.4.2</t>
  </si>
  <si>
    <t>12.4.3</t>
  </si>
  <si>
    <t>12.4.4</t>
  </si>
  <si>
    <t>12.4.5</t>
  </si>
  <si>
    <t>12.4.6</t>
  </si>
  <si>
    <t>12.5.1</t>
  </si>
  <si>
    <t>12.6.1</t>
  </si>
  <si>
    <t>12.7.1</t>
  </si>
  <si>
    <t>12.7.2</t>
  </si>
  <si>
    <t>12.7.3</t>
  </si>
  <si>
    <t>12.7.4</t>
  </si>
  <si>
    <t>12.8.1</t>
  </si>
  <si>
    <t>12.8.2</t>
  </si>
  <si>
    <t>PROPOSED MALE TRANSITION CENTER - BAIDOA</t>
  </si>
  <si>
    <t>ELEMENT NO. 1 : DEMOLITIONS</t>
  </si>
  <si>
    <t>Demolition  existing Reinforced roof slab, parapet wall ringbeam, permanent vents and entrance columns. Collect  all resultant waste and dispose off site as per the local government requirement</t>
  </si>
  <si>
    <t xml:space="preserve"> Excavate 600mm deep by 600mm wide for column bases (2No.) to a depth not exeeding 1m</t>
  </si>
  <si>
    <t>ELEMENT NO. 2 : SUBSTRUCTURE - PROVISIONAL (at the entarance verrander only)</t>
  </si>
  <si>
    <t>1.2.3</t>
  </si>
  <si>
    <t>1.2.4</t>
  </si>
  <si>
    <t>1.2.9</t>
  </si>
  <si>
    <t xml:space="preserve"> 1.2.10</t>
  </si>
  <si>
    <t>Column bases</t>
  </si>
  <si>
    <t>Vertical sides : of bases</t>
  </si>
  <si>
    <t>Vertical edges : Columns</t>
  </si>
  <si>
    <t>Columns</t>
  </si>
  <si>
    <t xml:space="preserve"> 1.2.11</t>
  </si>
  <si>
    <t xml:space="preserve"> 1.2.12</t>
  </si>
  <si>
    <t xml:space="preserve"> 1.2.13</t>
  </si>
  <si>
    <t xml:space="preserve"> 1.2.14</t>
  </si>
  <si>
    <t xml:space="preserve"> 1.2.15</t>
  </si>
  <si>
    <t xml:space="preserve"> 1.2.16</t>
  </si>
  <si>
    <t>ELEMENT NO. 3 - RENOVATION</t>
  </si>
  <si>
    <t>Walls</t>
  </si>
  <si>
    <t>Rub-down existing wall  paintwork and clean surface t receive new paint</t>
  </si>
  <si>
    <t>Prepare internal surface and paint  to match existing colour</t>
  </si>
  <si>
    <t>Prepare external surface and paint  to match existing colour</t>
  </si>
  <si>
    <t>2.4.1</t>
  </si>
  <si>
    <t>2.4.2</t>
  </si>
  <si>
    <t>2.4.3</t>
  </si>
  <si>
    <t>2.5.1</t>
  </si>
  <si>
    <t>supply and  fix wall  shelves  300x400mm heigh made of 20mm thick cut and joined MDF pannels 1200mm high by 1800mm wide</t>
  </si>
  <si>
    <t>SUB-TOTAL CARRIED TO SUMMARY</t>
  </si>
  <si>
    <t>2.3.26</t>
  </si>
  <si>
    <t>2.3.27</t>
  </si>
  <si>
    <t>2.3.34</t>
  </si>
  <si>
    <t>2.4.4</t>
  </si>
  <si>
    <t>2.4.6</t>
  </si>
  <si>
    <t>2.4.7</t>
  </si>
  <si>
    <t xml:space="preserve">Power Supply and Connection </t>
  </si>
  <si>
    <t>OFFICE RENOVATION WORKS</t>
  </si>
  <si>
    <t>ELECTRICAL INSTALLATIONS AND SERVICES</t>
  </si>
  <si>
    <t>STEPS AND RUMPS</t>
  </si>
  <si>
    <t>New Classrooms</t>
  </si>
  <si>
    <t>ELEMENT NO 1 - SUBSTRUCTURE (PROVISIONAL)</t>
  </si>
  <si>
    <t>10mm diameter bars,</t>
  </si>
  <si>
    <t>3.2.1</t>
  </si>
  <si>
    <t>3.4.1</t>
  </si>
  <si>
    <t>3.5.1</t>
  </si>
  <si>
    <t>3.5.2</t>
  </si>
  <si>
    <t>3.6.1</t>
  </si>
  <si>
    <t xml:space="preserve"> 3.6.2</t>
  </si>
  <si>
    <t>3.6.3</t>
  </si>
  <si>
    <t>3.7.1</t>
  </si>
  <si>
    <t>3.7.2</t>
  </si>
  <si>
    <t>3.7.3</t>
  </si>
  <si>
    <t>3.8.1</t>
  </si>
  <si>
    <t>3.8.2</t>
  </si>
  <si>
    <t>3.13.1</t>
  </si>
  <si>
    <t>3.13.2</t>
  </si>
  <si>
    <t>3.13.3</t>
  </si>
  <si>
    <t>3.13.4</t>
  </si>
  <si>
    <t>3.13.5</t>
  </si>
  <si>
    <t>3.13.6</t>
  </si>
  <si>
    <t>3.13.7</t>
  </si>
  <si>
    <t>3.14.1</t>
  </si>
  <si>
    <t>3.14.2</t>
  </si>
  <si>
    <t>3.14.3</t>
  </si>
  <si>
    <t>3.15.1</t>
  </si>
  <si>
    <t>3.15.2</t>
  </si>
  <si>
    <t>3.16.1</t>
  </si>
  <si>
    <t>3.17.1</t>
  </si>
  <si>
    <t>3.17.2</t>
  </si>
  <si>
    <t>3.17.3</t>
  </si>
  <si>
    <t>3.17.4</t>
  </si>
  <si>
    <t>3.17.5</t>
  </si>
  <si>
    <t>3.18.1</t>
  </si>
  <si>
    <t>3.19.1</t>
  </si>
  <si>
    <t>3.20</t>
  </si>
  <si>
    <t>3.20.1</t>
  </si>
  <si>
    <t>3.21.1</t>
  </si>
  <si>
    <t>3.21.2</t>
  </si>
  <si>
    <t>3.22.1</t>
  </si>
  <si>
    <t>3.23.1</t>
  </si>
  <si>
    <t>3.23.2</t>
  </si>
  <si>
    <t>3.24.1</t>
  </si>
  <si>
    <t>3.24.2</t>
  </si>
  <si>
    <t>3.24.3</t>
  </si>
  <si>
    <t>3.25.1</t>
  </si>
  <si>
    <t>3.26.1</t>
  </si>
  <si>
    <t>3.27.1</t>
  </si>
  <si>
    <t>3.28.1</t>
  </si>
  <si>
    <t>Fans</t>
  </si>
  <si>
    <t>3.29.1</t>
  </si>
  <si>
    <t>3.30</t>
  </si>
  <si>
    <t>Air conditioning</t>
  </si>
  <si>
    <t>TOTAL FOR NEW CLASSROOMSCARRIED TO GRAND SUMMARY</t>
  </si>
  <si>
    <t>TOTAL FOR OFFICES RENOVATION CARRIED TO GRAND SUMMARY</t>
  </si>
  <si>
    <t xml:space="preserve">SECTION 2: RENOVATION OF EXISTING OFFICES </t>
  </si>
  <si>
    <t>4.25.1</t>
  </si>
  <si>
    <t>4.26.1</t>
  </si>
  <si>
    <t>4.27.1</t>
  </si>
  <si>
    <t>4.28.1</t>
  </si>
  <si>
    <t>4.29.1</t>
  </si>
  <si>
    <t>4.30</t>
  </si>
  <si>
    <t>4.30.1</t>
  </si>
  <si>
    <t>SECTION 3: NEW CLASSROOMS</t>
  </si>
  <si>
    <t>SECTION 4: MEETING HALL PARTITIONING TO OFFICES</t>
  </si>
  <si>
    <t>EXISTING MEETING HALL</t>
  </si>
  <si>
    <t>Clean whole existing fploor finish to remove all foreign materials to expose the floor bellow. Floor should be cleaned with water jet to remove dust an any loose materials. Cement and sand (1:4) mortar screed beds : wood float finished  to receive ceramic tile floor finish (m.s) :  on concrete</t>
  </si>
  <si>
    <t>Supply and  fix wall  shelves  300x400mm heigh made of 20mm thick cut and joined MDF pannels 1200mm high by 1800mm wide (at the reception area only)</t>
  </si>
  <si>
    <t>ELEMENT NO. 1 - SUPERSTRUCTURE</t>
  </si>
  <si>
    <t>ELEMENT NO. 2: ELECTRICAL INSTALLATIONS AND SERVICES</t>
  </si>
  <si>
    <t>3.18.2</t>
  </si>
  <si>
    <t>3.18.3</t>
  </si>
  <si>
    <t>3.18.4</t>
  </si>
  <si>
    <t>3.18.5</t>
  </si>
  <si>
    <t>3.18.6</t>
  </si>
  <si>
    <t>3.18.7</t>
  </si>
  <si>
    <t>3.18.8</t>
  </si>
  <si>
    <t>Excavate 400mm deep for solid block foundation by 400mm wide</t>
  </si>
  <si>
    <t>Construct of 400mm thick solid block foundation 600mm high</t>
  </si>
  <si>
    <t>To the edges of ground slabs 100 - 200mm wide and foundation strips and ground columns</t>
  </si>
  <si>
    <t>High yield square twisted reinforcement bars to B.S 4461 in strip foundation, foundation beam and foundation columns and bases</t>
  </si>
  <si>
    <t xml:space="preserve">8mm bars </t>
  </si>
  <si>
    <t>12mm bars</t>
  </si>
  <si>
    <t>Strip Foundation</t>
  </si>
  <si>
    <t>m3</t>
  </si>
  <si>
    <t>Ground floor beam</t>
  </si>
  <si>
    <t>ELEMENT NO. 2: SUPER STRUCTURE CONCRETE</t>
  </si>
  <si>
    <t>Reinforced concrete class 25, as described in:-</t>
  </si>
  <si>
    <t>Beams</t>
  </si>
  <si>
    <t>8mm ditto</t>
  </si>
  <si>
    <t>12mm ditto</t>
  </si>
  <si>
    <t>Sawn formwork, as described, to:-</t>
  </si>
  <si>
    <t>Sides and soffits of beams</t>
  </si>
  <si>
    <t>Superstructure concrete Carried to Bill No. 2 Summary</t>
  </si>
  <si>
    <t>ELEMENT NO. 3 SUPERSTRUCTURE WALLING</t>
  </si>
  <si>
    <t>Hollow block walling</t>
  </si>
  <si>
    <t>Damp-proof courses, as described, to walls</t>
  </si>
  <si>
    <t>200mm wide</t>
  </si>
  <si>
    <t>Total for Superstructure Walling  Carried to Bill No. 2 Summary</t>
  </si>
  <si>
    <t>ELEMENT NO. 4 - ROOFING</t>
  </si>
  <si>
    <t>Total forRoof Works Carried to Bill Summary</t>
  </si>
  <si>
    <t>ELEMENT NO. 5: DOORS</t>
  </si>
  <si>
    <t>Total for Doors Carried to Bill Summary</t>
  </si>
  <si>
    <t>ELEMENT NO. 6: WINDOWS</t>
  </si>
  <si>
    <t>Total for Windows Carried to Bill Summary</t>
  </si>
  <si>
    <t>ELEMENT NO 7: FINISHES</t>
  </si>
  <si>
    <t>woodfloat to:-</t>
  </si>
  <si>
    <t>12mm (minimum) two coat lime plaster as described to</t>
  </si>
  <si>
    <t>Concrete or masonry surfaces internally</t>
  </si>
  <si>
    <t>40mm finished floor screed steel troweled  finish</t>
  </si>
  <si>
    <t>Ditto : Skirting</t>
  </si>
  <si>
    <t>Ceiling</t>
  </si>
  <si>
    <t>Timber brandering</t>
  </si>
  <si>
    <t>50 x 50 blandering on timber joists at 600mm centres bothways</t>
  </si>
  <si>
    <t>75 x 50 timber joists</t>
  </si>
  <si>
    <t>Supply and fix ceiling board as approved by engineer</t>
  </si>
  <si>
    <t xml:space="preserve">Prepare and apply three coats first quality emulsion </t>
  </si>
  <si>
    <t xml:space="preserve">paint on:- </t>
  </si>
  <si>
    <t>Plastered walls externally</t>
  </si>
  <si>
    <t>Prepare and apply three coats first quality silk vinyl</t>
  </si>
  <si>
    <t xml:space="preserve">emulsion paint on:- </t>
  </si>
  <si>
    <t>Plastered surfaces internally</t>
  </si>
  <si>
    <t>ELEMENT NO. 8: ELECTRICAL INSTALLATIONS AND SERVICES</t>
  </si>
  <si>
    <t xml:space="preserve"> Power Supply and Connection </t>
  </si>
  <si>
    <t>ELEMENT NO. 9: STEPS AND RUMPS</t>
  </si>
  <si>
    <t xml:space="preserve">ELEMENT NO. 10 WASH AREA FOR PRAYERS </t>
  </si>
  <si>
    <t>Construct 1 No continuous concrete bench consisting of 400x2000x100mm thick reinforced concrete slab with T8 @ 200mm C/C on double 200mm thick by 400mm high  block wall with an extra 400mm bellow the ground .  Construct also 800mm high by 200mm thick by 2000mm long  block wall for the support of plumbing and water tap.  Fill the area between the wall and the bench  with hard-core and 100mm thick reinforced concrete slab with T8 200mm C/C 2000mm long at the top and   steel trowel to a  smooth finish. Fix 3No. taps to specification. Tile all areas in contact with water including the bench.</t>
  </si>
  <si>
    <t>ELEMENT NO. 11: SOAK PIT 1 No.</t>
  </si>
  <si>
    <t>5.1.2</t>
  </si>
  <si>
    <t>5.1.7</t>
  </si>
  <si>
    <t>5.1.8</t>
  </si>
  <si>
    <t>5.1.9</t>
  </si>
  <si>
    <t>5.1.10</t>
  </si>
  <si>
    <t>5.1.11</t>
  </si>
  <si>
    <t>5.1.12</t>
  </si>
  <si>
    <t>5.1.14</t>
  </si>
  <si>
    <t>5.1.15</t>
  </si>
  <si>
    <t>5.1.16</t>
  </si>
  <si>
    <t>5.1.17</t>
  </si>
  <si>
    <t>5.10.1</t>
  </si>
  <si>
    <t>5.11.1</t>
  </si>
  <si>
    <t>5.11.2</t>
  </si>
  <si>
    <t>5.11.3</t>
  </si>
  <si>
    <t>5.11.4</t>
  </si>
  <si>
    <t>5.5.3</t>
  </si>
  <si>
    <t>5.5.4</t>
  </si>
  <si>
    <t>5.4.3</t>
  </si>
  <si>
    <t>5.4.4</t>
  </si>
  <si>
    <t>5.4.5</t>
  </si>
  <si>
    <t>5.4.6</t>
  </si>
  <si>
    <t>5.4.7</t>
  </si>
  <si>
    <t>5.4.8</t>
  </si>
  <si>
    <t>5.4.9</t>
  </si>
  <si>
    <t>5.4.10</t>
  </si>
  <si>
    <t>5.4.11</t>
  </si>
  <si>
    <t>5.4.12</t>
  </si>
  <si>
    <t>5.4.13</t>
  </si>
  <si>
    <t>5.4.15</t>
  </si>
  <si>
    <t>5.4.16</t>
  </si>
  <si>
    <t>5.5.1</t>
  </si>
  <si>
    <t>5.5.2</t>
  </si>
  <si>
    <t>5.5.5</t>
  </si>
  <si>
    <t>5.5.6</t>
  </si>
  <si>
    <t>5.5.7</t>
  </si>
  <si>
    <t>5.5.8</t>
  </si>
  <si>
    <t>5.5.9</t>
  </si>
  <si>
    <t>5.6.1</t>
  </si>
  <si>
    <t>5.7.1</t>
  </si>
  <si>
    <t>5.7.2</t>
  </si>
  <si>
    <t>5.7.3</t>
  </si>
  <si>
    <t>5.7.4</t>
  </si>
  <si>
    <t>5.7.5</t>
  </si>
  <si>
    <t>5.7.6</t>
  </si>
  <si>
    <t>5.7.7</t>
  </si>
  <si>
    <t>5.7.8</t>
  </si>
  <si>
    <t>5.7.9</t>
  </si>
  <si>
    <t>5.8.1</t>
  </si>
  <si>
    <t>5.8.2</t>
  </si>
  <si>
    <t>5.8.3</t>
  </si>
  <si>
    <t>5.8.4</t>
  </si>
  <si>
    <t>5.8.5</t>
  </si>
  <si>
    <t>5.8.6</t>
  </si>
  <si>
    <t>5.8.7</t>
  </si>
  <si>
    <t>5.9.1</t>
  </si>
  <si>
    <t>SECTION 5: PRAYER ROOM</t>
  </si>
  <si>
    <t>Prayer Room</t>
  </si>
  <si>
    <t>10mm bars</t>
  </si>
  <si>
    <t>5.1.13</t>
  </si>
  <si>
    <t>5.4.14</t>
  </si>
  <si>
    <t>Knot, prime, stop and apply 3 coats oil paint externally to: Prepare and apply bituminous paint to inside of gutter</t>
  </si>
  <si>
    <t>Total for Finishes Carried to Bill Summary</t>
  </si>
  <si>
    <t>SECTION 6: GENERAL STORE</t>
  </si>
  <si>
    <t>General Store</t>
  </si>
  <si>
    <t>6.1.3</t>
  </si>
  <si>
    <t>6.1.4</t>
  </si>
  <si>
    <t>6.1.5</t>
  </si>
  <si>
    <t>6.1.6</t>
  </si>
  <si>
    <t>6.1.7</t>
  </si>
  <si>
    <t>6.1.8</t>
  </si>
  <si>
    <t>6.1.9</t>
  </si>
  <si>
    <t>6.1.10</t>
  </si>
  <si>
    <t>6.1.11</t>
  </si>
  <si>
    <t>6.1.12</t>
  </si>
  <si>
    <t>6.1.13</t>
  </si>
  <si>
    <t>6.1.14</t>
  </si>
  <si>
    <t>6.1.15</t>
  </si>
  <si>
    <t>6.1.16</t>
  </si>
  <si>
    <t>6.1.17</t>
  </si>
  <si>
    <t>6.4.7</t>
  </si>
  <si>
    <t>6.4.8</t>
  </si>
  <si>
    <t>6.4.9</t>
  </si>
  <si>
    <t>6.4.10</t>
  </si>
  <si>
    <t>6.4.11</t>
  </si>
  <si>
    <t>6.4.12</t>
  </si>
  <si>
    <t>6.4.13</t>
  </si>
  <si>
    <t>6.4.14</t>
  </si>
  <si>
    <t>6.4.15</t>
  </si>
  <si>
    <t>6.4.16</t>
  </si>
  <si>
    <t>6.7.5</t>
  </si>
  <si>
    <t>6.7.6</t>
  </si>
  <si>
    <t>6.7.7</t>
  </si>
  <si>
    <t>6.7.8</t>
  </si>
  <si>
    <t>6.7.9</t>
  </si>
  <si>
    <t>6.8.3</t>
  </si>
  <si>
    <t>6.8.4</t>
  </si>
  <si>
    <t>6.8.5</t>
  </si>
  <si>
    <t>6.8.6</t>
  </si>
  <si>
    <t>6.5.2</t>
  </si>
  <si>
    <t>6.5.3</t>
  </si>
  <si>
    <t>6.5.4</t>
  </si>
  <si>
    <t>6.5.5</t>
  </si>
  <si>
    <t>6.5.6</t>
  </si>
  <si>
    <t>6.5.7</t>
  </si>
  <si>
    <t>6.5.8</t>
  </si>
  <si>
    <t>6.5.9</t>
  </si>
  <si>
    <t>200mm thick walling externally 3m high</t>
  </si>
  <si>
    <t>6.10.2</t>
  </si>
  <si>
    <t>6.10.3</t>
  </si>
  <si>
    <t>6.10.4</t>
  </si>
  <si>
    <t>ELEMENT NO. 10: SOAK PIT 1 No.</t>
  </si>
  <si>
    <t>6.10</t>
  </si>
  <si>
    <t>TOTAL FOR GENERAL STORE CARRIED TO GRAND SUMMARY</t>
  </si>
  <si>
    <t>7.1.17</t>
  </si>
  <si>
    <t>7.4.4</t>
  </si>
  <si>
    <t>7.4.5</t>
  </si>
  <si>
    <t>7.4.6</t>
  </si>
  <si>
    <t>7.4.7</t>
  </si>
  <si>
    <t>7.4.8</t>
  </si>
  <si>
    <t>7.4.9</t>
  </si>
  <si>
    <t>7.4.10</t>
  </si>
  <si>
    <t>7.4.11</t>
  </si>
  <si>
    <t>7.4.12</t>
  </si>
  <si>
    <t>7.4.13</t>
  </si>
  <si>
    <t>7.4.14</t>
  </si>
  <si>
    <t>7.4.15</t>
  </si>
  <si>
    <t>7.4.16</t>
  </si>
  <si>
    <t>7.5.3</t>
  </si>
  <si>
    <t>7.5.4</t>
  </si>
  <si>
    <t>7.5.5</t>
  </si>
  <si>
    <t>7.5.6</t>
  </si>
  <si>
    <t>7.5.7</t>
  </si>
  <si>
    <t>7.5.8</t>
  </si>
  <si>
    <t>7.5.9</t>
  </si>
  <si>
    <t>7.7.1</t>
  </si>
  <si>
    <t>7.7.2</t>
  </si>
  <si>
    <t>7.7.3</t>
  </si>
  <si>
    <t>7.7.4</t>
  </si>
  <si>
    <t>7.7.5</t>
  </si>
  <si>
    <t>7.7.6</t>
  </si>
  <si>
    <t>7.7.7</t>
  </si>
  <si>
    <t>7.7.8</t>
  </si>
  <si>
    <t>7.7.9</t>
  </si>
  <si>
    <t>7.8.1</t>
  </si>
  <si>
    <t>7.8.2</t>
  </si>
  <si>
    <t>7.8.3</t>
  </si>
  <si>
    <t>7.8.4</t>
  </si>
  <si>
    <t>7.8.5</t>
  </si>
  <si>
    <t>7.8.6</t>
  </si>
  <si>
    <t>7.9.1</t>
  </si>
  <si>
    <t>7.10.1</t>
  </si>
  <si>
    <t>7.10</t>
  </si>
  <si>
    <t>SECTION 7: CLINIC</t>
  </si>
  <si>
    <t>supply and fix hand washing basin including all fittings and two water taps in each</t>
  </si>
  <si>
    <t>ELEMENT NO.11: MECHANICAL WORKS</t>
  </si>
  <si>
    <t>7.11.1</t>
  </si>
  <si>
    <t>7.12.1</t>
  </si>
  <si>
    <t>7.12.2</t>
  </si>
  <si>
    <t>7.12.3</t>
  </si>
  <si>
    <t>7.12.4</t>
  </si>
  <si>
    <t>ELEMENT NO.12: SOAK PIT 1 No.</t>
  </si>
  <si>
    <t>8.1.1</t>
  </si>
  <si>
    <t>8.1.2</t>
  </si>
  <si>
    <t>8.1.3</t>
  </si>
  <si>
    <t>8.1.4</t>
  </si>
  <si>
    <t>8.1.5</t>
  </si>
  <si>
    <t>8.1.6</t>
  </si>
  <si>
    <t>8.1.7</t>
  </si>
  <si>
    <t>8.1.8</t>
  </si>
  <si>
    <t>8.1.9</t>
  </si>
  <si>
    <t>8.1.10</t>
  </si>
  <si>
    <t>8.1.11</t>
  </si>
  <si>
    <t>8.1.12</t>
  </si>
  <si>
    <t>8.1.13</t>
  </si>
  <si>
    <t>8.1.14</t>
  </si>
  <si>
    <t>8.1.15</t>
  </si>
  <si>
    <t>8.1.16</t>
  </si>
  <si>
    <t>8.1.17</t>
  </si>
  <si>
    <t>8.2.1</t>
  </si>
  <si>
    <t>8.2.2</t>
  </si>
  <si>
    <t>8.2.3</t>
  </si>
  <si>
    <t>8.2.4</t>
  </si>
  <si>
    <t>8.3.1</t>
  </si>
  <si>
    <t>8.4.1</t>
  </si>
  <si>
    <t>8.4.2</t>
  </si>
  <si>
    <t>8.4.3</t>
  </si>
  <si>
    <t>8.4.4</t>
  </si>
  <si>
    <t>8.4.5</t>
  </si>
  <si>
    <t>8.4.6</t>
  </si>
  <si>
    <t>8.4.7</t>
  </si>
  <si>
    <t>8.4.8</t>
  </si>
  <si>
    <t>8.4.9</t>
  </si>
  <si>
    <t>8.4.10</t>
  </si>
  <si>
    <t>8.4.11</t>
  </si>
  <si>
    <t>8.4.12</t>
  </si>
  <si>
    <t>8.4.13</t>
  </si>
  <si>
    <t>8.4.14</t>
  </si>
  <si>
    <t>8.4.15</t>
  </si>
  <si>
    <t>8.4.16</t>
  </si>
  <si>
    <t>8.5.1</t>
  </si>
  <si>
    <t>8.5.2</t>
  </si>
  <si>
    <t>8.5.3</t>
  </si>
  <si>
    <t>8.5.4</t>
  </si>
  <si>
    <t>8.5.5</t>
  </si>
  <si>
    <t>8.5.6</t>
  </si>
  <si>
    <t>8.5.7</t>
  </si>
  <si>
    <t>8.5.8</t>
  </si>
  <si>
    <t>8.5.9</t>
  </si>
  <si>
    <t>8.6.1</t>
  </si>
  <si>
    <t>8.8.1</t>
  </si>
  <si>
    <t>8.8.2</t>
  </si>
  <si>
    <t>8.8.3</t>
  </si>
  <si>
    <t>8.8.4</t>
  </si>
  <si>
    <t>8.8.5</t>
  </si>
  <si>
    <t>8.8.6</t>
  </si>
  <si>
    <t>8.8.7</t>
  </si>
  <si>
    <t>8.8.8</t>
  </si>
  <si>
    <t>8.8.9</t>
  </si>
  <si>
    <t>8.9.1</t>
  </si>
  <si>
    <t>8.10</t>
  </si>
  <si>
    <t>8.10.1</t>
  </si>
  <si>
    <t>8.11.1</t>
  </si>
  <si>
    <t>8.12.1</t>
  </si>
  <si>
    <t>8.7.1</t>
  </si>
  <si>
    <t>8.7.2</t>
  </si>
  <si>
    <t>8.7.3</t>
  </si>
  <si>
    <t>8.7.4</t>
  </si>
  <si>
    <t>8.7.8</t>
  </si>
  <si>
    <t>8.7.9</t>
  </si>
  <si>
    <t>Kitchen and Dining</t>
  </si>
  <si>
    <t>5.1.18</t>
  </si>
  <si>
    <t>7.1.18</t>
  </si>
  <si>
    <t>6.1.18</t>
  </si>
  <si>
    <t>8.1.18</t>
  </si>
  <si>
    <t>200x200mm Hollow block  stone walling bedded and jointed in cement and sand (1:4) mortar, reinforcement with and including 25mm wide x 20 gauge hoop iron at every alternate course as described in:</t>
  </si>
  <si>
    <t>150 x 100 mm as truss external members</t>
  </si>
  <si>
    <t>8.5.10</t>
  </si>
  <si>
    <t>ELEMENT NO. 8: KITCHEN INTERIOR WORKS</t>
  </si>
  <si>
    <t>supply and fix one overhead chimney over fire place including venting, connection and making good all cut surfaces</t>
  </si>
  <si>
    <t xml:space="preserve">Construct 200mm thick 800mm high massonry walls for kitchen platfor  support </t>
  </si>
  <si>
    <t>8.8.10</t>
  </si>
  <si>
    <t>8.8.11</t>
  </si>
  <si>
    <t>8.8.12</t>
  </si>
  <si>
    <t>8.8.13</t>
  </si>
  <si>
    <t xml:space="preserve">Total: Work tops and Bottom CabinetsSupply and apply three coats of gloss paint as finish </t>
  </si>
  <si>
    <t>8.8.14</t>
  </si>
  <si>
    <t>8.8.15</t>
  </si>
  <si>
    <t>ELEMENT NO. 9: DINNING INTERIOR WORKS</t>
  </si>
  <si>
    <t>8.10.2</t>
  </si>
  <si>
    <t>8.10.3</t>
  </si>
  <si>
    <t>8.10.4</t>
  </si>
  <si>
    <t>8.10.5</t>
  </si>
  <si>
    <t>8.10.6</t>
  </si>
  <si>
    <t>8.14.1</t>
  </si>
  <si>
    <t>8.14.2</t>
  </si>
  <si>
    <t>8.14.3</t>
  </si>
  <si>
    <t>8.14.4</t>
  </si>
  <si>
    <t>8.13.1</t>
  </si>
  <si>
    <t>8.12</t>
  </si>
  <si>
    <t>ELEMENT NO. 10: ELECTRICAL INSTALLATIONS AND SERVICES</t>
  </si>
  <si>
    <t>ELEMENT NO. 11: STEPS AND RUMPS</t>
  </si>
  <si>
    <t>ELEMENT NO.13: MECHANICAL WORKS</t>
  </si>
  <si>
    <t>ELEMENT NO.14: SOAK PIT 1 No.</t>
  </si>
  <si>
    <t>9.1.1</t>
  </si>
  <si>
    <t>9.1.2</t>
  </si>
  <si>
    <t>9.3.1</t>
  </si>
  <si>
    <t>9.3.2</t>
  </si>
  <si>
    <t>9.3.3</t>
  </si>
  <si>
    <t>9.3.4</t>
  </si>
  <si>
    <t>9.3.5</t>
  </si>
  <si>
    <t>9.3.6</t>
  </si>
  <si>
    <t>9.3.7</t>
  </si>
  <si>
    <t>9.3.8</t>
  </si>
  <si>
    <t>9.3.9</t>
  </si>
  <si>
    <t>9.3.10</t>
  </si>
  <si>
    <t>9.3.11</t>
  </si>
  <si>
    <t>9.3.12</t>
  </si>
  <si>
    <t>9.3.13</t>
  </si>
  <si>
    <t>9.3.14</t>
  </si>
  <si>
    <t>9.3.15</t>
  </si>
  <si>
    <t>9.3.16</t>
  </si>
  <si>
    <t>9.3.17</t>
  </si>
  <si>
    <t>9.3.18</t>
  </si>
  <si>
    <t>9.3.19</t>
  </si>
  <si>
    <t>9.3.20</t>
  </si>
  <si>
    <t>9.3.21</t>
  </si>
  <si>
    <t>9.4.1</t>
  </si>
  <si>
    <t>9.4.7</t>
  </si>
  <si>
    <t>9.5.1</t>
  </si>
  <si>
    <t>9.2.1</t>
  </si>
  <si>
    <t>9.2.3</t>
  </si>
  <si>
    <t>9.2.4</t>
  </si>
  <si>
    <t>9.2.9</t>
  </si>
  <si>
    <t xml:space="preserve"> 9.2.10</t>
  </si>
  <si>
    <t xml:space="preserve"> 9.2.11</t>
  </si>
  <si>
    <t xml:space="preserve"> 9.2.12</t>
  </si>
  <si>
    <t xml:space="preserve"> 9.2.13</t>
  </si>
  <si>
    <t xml:space="preserve"> 9.2.14</t>
  </si>
  <si>
    <t xml:space="preserve"> 9.2.15</t>
  </si>
  <si>
    <t xml:space="preserve"> 9.2.16</t>
  </si>
  <si>
    <t>SECTION 9: ACCOMMODATION BLOCK</t>
  </si>
  <si>
    <t>ACCOMMODATION BLOCK</t>
  </si>
  <si>
    <t>Clear site and all rooms of all bushes and debrisboxes and relocate valuables items as directed, dispose al waste as directed by local authority requirements</t>
  </si>
  <si>
    <t xml:space="preserve"> Excavate 600mm deep by 600mm wide for strip footing and column bases to a depth not exeeding 1m</t>
  </si>
  <si>
    <t>Column bases and strip footing</t>
  </si>
  <si>
    <t>Vertical sides : of Strip footing</t>
  </si>
  <si>
    <t>Patch up areas with damaged plaster with cement sand plaster and make good to reveive paint</t>
  </si>
  <si>
    <t xml:space="preserve">Roof </t>
  </si>
  <si>
    <t>ELEMENT NO. 4 - DOORS</t>
  </si>
  <si>
    <t>9.4.8</t>
  </si>
  <si>
    <t>9.4.9</t>
  </si>
  <si>
    <t>ELEMENT NO. 5 - WINDOWS</t>
  </si>
  <si>
    <t>ELEMENT NO.6 - STORAGE SHELVES</t>
  </si>
  <si>
    <t>9.6.1</t>
  </si>
  <si>
    <t>ELEMENT NO. 7: ELECTRICAL INSTALLATIONS AND SERVICES</t>
  </si>
  <si>
    <t>9.7.1</t>
  </si>
  <si>
    <t>9.7.2</t>
  </si>
  <si>
    <t>9.7.3</t>
  </si>
  <si>
    <t>9.7.4</t>
  </si>
  <si>
    <t>ELEMENT NO. 8: STEPS AND RUMPS</t>
  </si>
  <si>
    <t>9.8.1</t>
  </si>
  <si>
    <t>10..1.1</t>
  </si>
  <si>
    <t>10..1.10.</t>
  </si>
  <si>
    <t>10..1.3</t>
  </si>
  <si>
    <t>10..1.4</t>
  </si>
  <si>
    <t>10.2.1</t>
  </si>
  <si>
    <t>10.2.3</t>
  </si>
  <si>
    <t>10.2.4</t>
  </si>
  <si>
    <t>10.3.1</t>
  </si>
  <si>
    <t>10.3.2</t>
  </si>
  <si>
    <t>10.4.1</t>
  </si>
  <si>
    <t>10.4.2</t>
  </si>
  <si>
    <t>10.1.5</t>
  </si>
  <si>
    <t>10.1.6</t>
  </si>
  <si>
    <t>Clear site of all bushes and debris and dispose off as per local autorities' procedures.</t>
  </si>
  <si>
    <t>Excavate 1000mm deep for hollow block foundation by 600mm wide</t>
  </si>
  <si>
    <t>10.1.7</t>
  </si>
  <si>
    <t>10.1.8</t>
  </si>
  <si>
    <t>10.1.9</t>
  </si>
  <si>
    <t>10.1.10</t>
  </si>
  <si>
    <t>10.1.11</t>
  </si>
  <si>
    <t>10.1.12</t>
  </si>
  <si>
    <t>10.1.13</t>
  </si>
  <si>
    <t>Column bases and Strip footing</t>
  </si>
  <si>
    <t>10.1.14</t>
  </si>
  <si>
    <t>10..1.15</t>
  </si>
  <si>
    <t>10..1.16</t>
  </si>
  <si>
    <t>10..1.17</t>
  </si>
  <si>
    <t>10..1.18</t>
  </si>
  <si>
    <t>10..1.19</t>
  </si>
  <si>
    <t>10..1.20</t>
  </si>
  <si>
    <t>10..1.21</t>
  </si>
  <si>
    <t>10.2.2</t>
  </si>
  <si>
    <t>Fubricate  and fix  wooden ventilation, 300mm x 600m high</t>
  </si>
  <si>
    <t>25Watt Energy saving LED bulb lighting</t>
  </si>
  <si>
    <t>SECTION 10: TOILETS BLOCK AND STAFF TOILETS</t>
  </si>
  <si>
    <t>Demolition of all existing structures (Old kitchen along the boundary wall and old elevated water tank)</t>
  </si>
  <si>
    <t>Renovation of existing staff toilets</t>
  </si>
  <si>
    <t>provide a lump sum amount for renovation of existing staff toilet. Replace taps (3), check and repair plambing works and reconnect to water supply, check and replace WC (1) and make necessary connection, check and reconnect lights and provide and fix 25watt LED bulbs (2)with switch.</t>
  </si>
  <si>
    <t>sum</t>
  </si>
  <si>
    <t>ELEMENT NO. 4 ROOFING</t>
  </si>
  <si>
    <t>10.4.3</t>
  </si>
  <si>
    <t>10.4.4</t>
  </si>
  <si>
    <t>10.4.5</t>
  </si>
  <si>
    <t>10.4.6</t>
  </si>
  <si>
    <t>10.4.7</t>
  </si>
  <si>
    <t>10.4.8</t>
  </si>
  <si>
    <t>10.4.9</t>
  </si>
  <si>
    <t>10.4.10</t>
  </si>
  <si>
    <t>10.4.11</t>
  </si>
  <si>
    <t>10.4.12</t>
  </si>
  <si>
    <t>10.4.13</t>
  </si>
  <si>
    <t>10.4.14</t>
  </si>
  <si>
    <t>10.4.15</t>
  </si>
  <si>
    <t>10.4.16</t>
  </si>
  <si>
    <t>10.4.17</t>
  </si>
  <si>
    <t>10.4.18</t>
  </si>
  <si>
    <t>10.4.19</t>
  </si>
  <si>
    <t>10.5.1</t>
  </si>
  <si>
    <t>10.5.2</t>
  </si>
  <si>
    <t>10.5.3</t>
  </si>
  <si>
    <t>10.5.4</t>
  </si>
  <si>
    <t>10.5.5</t>
  </si>
  <si>
    <t>10.5.6</t>
  </si>
  <si>
    <t>10.5.7</t>
  </si>
  <si>
    <t>10.5.8</t>
  </si>
  <si>
    <t>10.6.1</t>
  </si>
  <si>
    <t>10.6.2</t>
  </si>
  <si>
    <t>ELEMENT NO. 7 FLOOR FINISHES</t>
  </si>
  <si>
    <t>10.7.1</t>
  </si>
  <si>
    <t>10.7.2</t>
  </si>
  <si>
    <t>10.8.1</t>
  </si>
  <si>
    <t>10.8.2</t>
  </si>
  <si>
    <t>10.8.3</t>
  </si>
  <si>
    <t>10.8.4</t>
  </si>
  <si>
    <t>ELEMENT NO. 9: MECHANICAL INSTALLATIONS AND SERVICES</t>
  </si>
  <si>
    <t>10.9.1</t>
  </si>
  <si>
    <t>10.9.2</t>
  </si>
  <si>
    <t>10.9.3</t>
  </si>
  <si>
    <t>10.9.4</t>
  </si>
  <si>
    <t>10.9.5</t>
  </si>
  <si>
    <t>10.9.6</t>
  </si>
  <si>
    <t>10.9.7</t>
  </si>
  <si>
    <t>10.9.8</t>
  </si>
  <si>
    <t>10.9.9</t>
  </si>
  <si>
    <t>10.9.10</t>
  </si>
  <si>
    <t>10.9.11</t>
  </si>
  <si>
    <t>10.9.12</t>
  </si>
  <si>
    <t>10.9.13</t>
  </si>
  <si>
    <t>10.9.14</t>
  </si>
  <si>
    <t>10.9.15</t>
  </si>
  <si>
    <t>10.9.16</t>
  </si>
  <si>
    <t>10.9.17</t>
  </si>
  <si>
    <t>10.9.18</t>
  </si>
  <si>
    <t>10.9.19</t>
  </si>
  <si>
    <t>10.9.20</t>
  </si>
  <si>
    <t>10.9.21</t>
  </si>
  <si>
    <t>10.9.22</t>
  </si>
  <si>
    <t>10.9.23</t>
  </si>
  <si>
    <t>10.9.24</t>
  </si>
  <si>
    <t>10.9.25</t>
  </si>
  <si>
    <t>10.9.26</t>
  </si>
  <si>
    <t>10.9.27</t>
  </si>
  <si>
    <t>10.9.28</t>
  </si>
  <si>
    <t>10.9.29</t>
  </si>
  <si>
    <t>10.9.30</t>
  </si>
  <si>
    <t>10.9.31</t>
  </si>
  <si>
    <t>10.9.32</t>
  </si>
  <si>
    <t>10.9.33</t>
  </si>
  <si>
    <t>10.9.34</t>
  </si>
  <si>
    <t>10.9.35</t>
  </si>
  <si>
    <t>10.9.36</t>
  </si>
  <si>
    <t>10.10</t>
  </si>
  <si>
    <t>10.5.9</t>
  </si>
  <si>
    <t>ELEMENT NO. 6 WINDOWS</t>
  </si>
  <si>
    <t>ELEMENT NO. 5 DOORS AND IRONMONGERY</t>
  </si>
  <si>
    <t>ELEMENT NO. 10: RENOVATION OF EXISTING STAFF TOILET</t>
  </si>
  <si>
    <t>Soap Dispenser 
Wall mounted Soap dispenser with a capacity of about one Litre having a press action Soap release mechanism complete with fixing screws. As starmix or approved equivalent</t>
  </si>
  <si>
    <t>SECTION 11: SECURITY HOUSE</t>
  </si>
  <si>
    <t>SECURITY HOUSE</t>
  </si>
  <si>
    <t>11.1.1</t>
  </si>
  <si>
    <t>11.3.1</t>
  </si>
  <si>
    <t>11.3.2</t>
  </si>
  <si>
    <t>11.3.3</t>
  </si>
  <si>
    <t>11.3.4</t>
  </si>
  <si>
    <t>11.3.5</t>
  </si>
  <si>
    <t>11.3.6</t>
  </si>
  <si>
    <t>11.3.7</t>
  </si>
  <si>
    <t>11.3.8</t>
  </si>
  <si>
    <t>11.3.9</t>
  </si>
  <si>
    <t>11.3.10</t>
  </si>
  <si>
    <t>11.3.11</t>
  </si>
  <si>
    <t>11.3.12</t>
  </si>
  <si>
    <t>11.3.13</t>
  </si>
  <si>
    <t>11.3.14</t>
  </si>
  <si>
    <t>11.3.15</t>
  </si>
  <si>
    <t>11.3.16</t>
  </si>
  <si>
    <t>11.3.17</t>
  </si>
  <si>
    <t>11.3.18</t>
  </si>
  <si>
    <t>11.3.19</t>
  </si>
  <si>
    <t>11.4.1</t>
  </si>
  <si>
    <t>11.4.2</t>
  </si>
  <si>
    <t>11.4.3</t>
  </si>
  <si>
    <t>11.4.4</t>
  </si>
  <si>
    <t>11.4.5</t>
  </si>
  <si>
    <t>11.4.6</t>
  </si>
  <si>
    <t>11.4.7</t>
  </si>
  <si>
    <t>11.4.8</t>
  </si>
  <si>
    <t>11.4.9</t>
  </si>
  <si>
    <t>11.5.1</t>
  </si>
  <si>
    <t>11.6.1</t>
  </si>
  <si>
    <t>11.7.1</t>
  </si>
  <si>
    <t>11.7.2</t>
  </si>
  <si>
    <t>11.7.3</t>
  </si>
  <si>
    <t>11.7.4</t>
  </si>
  <si>
    <t>11.8.1</t>
  </si>
  <si>
    <t>ELEMENT NO. 1 : SITE CLEARING</t>
  </si>
  <si>
    <t>ELEMENT NO. 2 RENOVATION</t>
  </si>
  <si>
    <t xml:space="preserve"> 11.2.6</t>
  </si>
  <si>
    <t xml:space="preserve"> 11.2.7</t>
  </si>
  <si>
    <t xml:space="preserve"> 11.2.8</t>
  </si>
  <si>
    <t xml:space="preserve"> 11.2.9</t>
  </si>
  <si>
    <t>ELEMENT NO. 3 ROOFING</t>
  </si>
  <si>
    <t>TOTAL FOR GATE HOUSE RENOVATION CARRIED TO GRAND SUMMARY</t>
  </si>
  <si>
    <t>12.9.1</t>
  </si>
  <si>
    <t>12.9.2</t>
  </si>
  <si>
    <t>12.9.3</t>
  </si>
  <si>
    <t>12.9.4</t>
  </si>
  <si>
    <t>12.10.1</t>
  </si>
  <si>
    <t>12.10.11</t>
  </si>
  <si>
    <t>12.10.12</t>
  </si>
  <si>
    <t>12.10.13</t>
  </si>
  <si>
    <t>12.10.14</t>
  </si>
  <si>
    <t>12.10.15</t>
  </si>
  <si>
    <t>12.10.16</t>
  </si>
  <si>
    <t>12.10.17</t>
  </si>
  <si>
    <t>12.10.18</t>
  </si>
  <si>
    <t>12.11.1</t>
  </si>
  <si>
    <t>12.11.2</t>
  </si>
  <si>
    <t>SECTION 12: WATER STORAGE TANKS</t>
  </si>
  <si>
    <t>13.1.1</t>
  </si>
  <si>
    <t>13.1.2</t>
  </si>
  <si>
    <t>13.1.3</t>
  </si>
  <si>
    <t>13.1.4</t>
  </si>
  <si>
    <t>13.1.5</t>
  </si>
  <si>
    <t>13.1.6</t>
  </si>
  <si>
    <t>13.1.7</t>
  </si>
  <si>
    <t>13.1.8</t>
  </si>
  <si>
    <t>13.1.9</t>
  </si>
  <si>
    <t>13.1.10</t>
  </si>
  <si>
    <t>13.1.11</t>
  </si>
  <si>
    <t>13.1.12</t>
  </si>
  <si>
    <t>13.1.13</t>
  </si>
  <si>
    <t>13.1.14</t>
  </si>
  <si>
    <t>13.1.15</t>
  </si>
  <si>
    <t>13.1.16</t>
  </si>
  <si>
    <t>13.2.1</t>
  </si>
  <si>
    <t>13.2.2</t>
  </si>
  <si>
    <t>13.2.3</t>
  </si>
  <si>
    <t>13.2.4</t>
  </si>
  <si>
    <t>13.3.19</t>
  </si>
  <si>
    <t>13.3.20</t>
  </si>
  <si>
    <t>13.5.1</t>
  </si>
  <si>
    <t>13.6.1</t>
  </si>
  <si>
    <t>13.6.2</t>
  </si>
  <si>
    <t>13.6.3</t>
  </si>
  <si>
    <t>13.6.4</t>
  </si>
  <si>
    <t>13.6.5</t>
  </si>
  <si>
    <t>SECTION 14: WATCH TOWERS</t>
  </si>
  <si>
    <t>ELEMENT NO.2</t>
  </si>
  <si>
    <t xml:space="preserve">SECTION 15: SOLAR STREETLIGHTS </t>
  </si>
  <si>
    <t>SECTION 17: EXTERNAL WORKS</t>
  </si>
  <si>
    <t>SECTION 8:KITCHEN AND DINING</t>
  </si>
  <si>
    <t>150 mm roof slab</t>
  </si>
  <si>
    <t>columns</t>
  </si>
  <si>
    <t>2.2.3</t>
  </si>
  <si>
    <t>2.2.4</t>
  </si>
  <si>
    <t>Sides and soffits of slab</t>
  </si>
  <si>
    <t>Walling bedded and jointed in cement and sand (1:4) mortar, reinforcement with and including 25mm wide x 20 gauge hoop iron at every alternate course as described in:</t>
  </si>
  <si>
    <t>400mmUncoursed rubble stones thick walling externally 3m high</t>
  </si>
  <si>
    <t>200mm thick walling internally 3m high</t>
  </si>
  <si>
    <t>400mm wide</t>
  </si>
  <si>
    <t>Sides and soffits of Slab</t>
  </si>
  <si>
    <t>5.3.3</t>
  </si>
  <si>
    <t>5.3.4</t>
  </si>
  <si>
    <t>Total for Superstructure concrete Carried to Bill No. 2 Summary</t>
  </si>
  <si>
    <t>6.6.2</t>
  </si>
  <si>
    <t>6.6.3</t>
  </si>
  <si>
    <t>6.6.4</t>
  </si>
  <si>
    <t>6.3.3</t>
  </si>
  <si>
    <t>6.3.4</t>
  </si>
  <si>
    <t>7.3.3</t>
  </si>
  <si>
    <t>7.3.4</t>
  </si>
  <si>
    <t>8.3.3</t>
  </si>
  <si>
    <t>8.3.4</t>
  </si>
  <si>
    <t>Provide suffucient props to the roof section around the verandah and demolition  existing verander wall, suporting masonry columns and vent blocks. Demolish walls ment for toilets in each room. Carefully removea lliron sheet roof and remove all trusses and store as directed for reuse. Collect  all resultant waste and dispose off site as per the local government requirement</t>
  </si>
  <si>
    <t>Carefully removea lliron sheet roof and remove all trusses and store as directed for reuse. Collect  all resultant waste and dispose off site as per the local government requirement</t>
  </si>
  <si>
    <t>Demolision</t>
  </si>
  <si>
    <t>Carefully remove all iron sheets and timber framming from the existing temporary accommodation block and store as directed</t>
  </si>
  <si>
    <t>Page Totall Carried to Bill Summary</t>
  </si>
  <si>
    <t>Total Carried to Bill Summary</t>
  </si>
  <si>
    <t xml:space="preserve">Provisional Sum of 1000 USD for connecting power Supply and for connecting electricity to each unit and for any other power related items inadvertently omitted. </t>
  </si>
  <si>
    <t>ELEMENT 7: STORAGE SHELVES</t>
  </si>
  <si>
    <t>ELEMENT NO. 9:  STEPS AND RUMPS</t>
  </si>
  <si>
    <t>ELEMENT 6: DOORS AND WINDOWS</t>
  </si>
  <si>
    <t>ELEMENT 5: ROOF</t>
  </si>
  <si>
    <t>Sub Total Carried to Bill Summary</t>
  </si>
  <si>
    <t>ELEMENT. NO. 4: ROOFING</t>
  </si>
  <si>
    <t xml:space="preserve">ELEMENT NO. 6: INTERNAL FINISHES </t>
  </si>
  <si>
    <t xml:space="preserve"> Total  For Roof Carried to Bill Summary</t>
  </si>
  <si>
    <t>Total for Doors and Windows Carried to Bill Summary</t>
  </si>
  <si>
    <t>Total for Fininshes Carried to Bill Summary</t>
  </si>
  <si>
    <t>Total For Super Structure Carried to Bill Summary</t>
  </si>
  <si>
    <t>Total Carried to Main Summary</t>
  </si>
  <si>
    <t>ELEMENT NO. 5:  DOORS AND WINDOWS</t>
  </si>
  <si>
    <t xml:space="preserve">Provisional Sum of 350 USD for connecting power Supply and for connecting electricity to each unit and for any other power related items inadvertently omitted. </t>
  </si>
  <si>
    <t xml:space="preserve">Provisional Sum of 200 USD for connecting power Supply and for connecting electricity to each unit and for any other power related items inadvertently omitted. </t>
  </si>
  <si>
    <t>4.1.1</t>
  </si>
  <si>
    <t>4.1.2</t>
  </si>
  <si>
    <t>4.1.3</t>
  </si>
  <si>
    <t>4.1.4</t>
  </si>
  <si>
    <t>ELEMENT 5: TIMBER ROOF</t>
  </si>
  <si>
    <t>4.1.5</t>
  </si>
  <si>
    <t>4.1.6</t>
  </si>
  <si>
    <t>4.1.7</t>
  </si>
  <si>
    <t>4.1.8</t>
  </si>
  <si>
    <t>4.1.9</t>
  </si>
  <si>
    <t>4.1.10</t>
  </si>
  <si>
    <t>4.1.11</t>
  </si>
  <si>
    <t>4.1.12</t>
  </si>
  <si>
    <t>4.1.13</t>
  </si>
  <si>
    <t>4.1.14</t>
  </si>
  <si>
    <t>4.1.15</t>
  </si>
  <si>
    <t>4.1.16</t>
  </si>
  <si>
    <t>4.1.17</t>
  </si>
  <si>
    <t>4.1.18</t>
  </si>
  <si>
    <t>4.1.19</t>
  </si>
  <si>
    <t>4.1.20</t>
  </si>
  <si>
    <t>4.1.21</t>
  </si>
  <si>
    <t>4.1.22</t>
  </si>
  <si>
    <t>4.1.23</t>
  </si>
  <si>
    <t>4.1.24</t>
  </si>
  <si>
    <t>4.1.25</t>
  </si>
  <si>
    <t>40mm Thick screed beds, steel trowelled to finish</t>
  </si>
  <si>
    <t>4.1.26</t>
  </si>
  <si>
    <t>4.1.27</t>
  </si>
  <si>
    <t>4.1.28</t>
  </si>
  <si>
    <t>Prepare and apply 3 coats emulsion paint to plastered</t>
  </si>
  <si>
    <t>Brought Forward from Above</t>
  </si>
  <si>
    <t>ELEMENT NO. 10: WALL SHELVES</t>
  </si>
  <si>
    <t xml:space="preserve">Ditto Ceiling </t>
  </si>
  <si>
    <t>sm</t>
  </si>
  <si>
    <t>8.7.10</t>
  </si>
  <si>
    <t>Palstered Ceiling</t>
  </si>
  <si>
    <t>ELEMENT NO. 12: WALL SHELVES</t>
  </si>
  <si>
    <t>Total for Renovation Carried to Summary</t>
  </si>
  <si>
    <t xml:space="preserve">Steel single leaf panel door 45mm thick overall size 900x2100mm (both faces panelled) complete with frames and I ron Mongery </t>
  </si>
  <si>
    <t>Gloss paint to all metal surfaces.</t>
  </si>
  <si>
    <t>9.20</t>
  </si>
  <si>
    <t>9.20.1</t>
  </si>
  <si>
    <t>9.21.2</t>
  </si>
  <si>
    <t>9.22.1</t>
  </si>
  <si>
    <t>9.24.1</t>
  </si>
  <si>
    <t>9.24.2</t>
  </si>
  <si>
    <t>9.24.3</t>
  </si>
  <si>
    <t>Cement and sand (1:4) mortar screed beds steel float finished</t>
  </si>
  <si>
    <t>Ditto but 100mm high skirtings</t>
  </si>
  <si>
    <t>9.21.3</t>
  </si>
  <si>
    <t>Palstered Walls</t>
  </si>
  <si>
    <t>Concrete Ceiling</t>
  </si>
  <si>
    <t>Internal Walls and beams</t>
  </si>
  <si>
    <t>9.22.2</t>
  </si>
  <si>
    <t>9.22.3</t>
  </si>
  <si>
    <t xml:space="preserve">External Surfaces </t>
  </si>
  <si>
    <t>Total for Internal Finish</t>
  </si>
  <si>
    <t>Plastered Ceiling</t>
  </si>
  <si>
    <t>ELEMENT NO. 3 - RENOVATIONAND CONCRETE WORKS</t>
  </si>
  <si>
    <t>ELEMENT 4: ROOF</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</si>
</sst>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_-* #,##0.00_-;\-* #,##0.00_-;_-* &quot;-&quot;??_-;_-@_-"/>
    <numFmt numFmtId="165" formatCode="#,##0.0"/>
    <numFmt numFmtId="166" formatCode="_(* #,##0.00_);_(* \(#,##0.00\);_(* \-??_);_(@_)"/>
    <numFmt numFmtId="167" formatCode="0.0"/>
    <numFmt numFmtId="168" formatCode="_(* #,##0.0_);_(* \(#,##0.0\);_(* &quot;-&quot;??_);_(@_)"/>
    <numFmt numFmtId="169" formatCode="_(* #,##0.0_);_(* \(#,##0.0\);_(* \-??_);_(@_)"/>
    <numFmt numFmtId="170" formatCode="_(* #,##0_);_(* \(#,##0\);_(* \-_);_(@_)"/>
    <numFmt numFmtId="171" formatCode="0.00.00\]"/>
    <numFmt numFmtId="172" formatCode="0.00.00.00\]"/>
  </numFmts>
  <fonts count="7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ont>
    <font>
      <b/>
      <sz val="12"/>
      <name val="Tahoma"/>
      <family val="2"/>
    </font>
    <font>
      <sz val="12"/>
      <name val="Tahoma"/>
      <family val="2"/>
    </font>
    <font>
      <b/>
      <u/>
      <sz val="12"/>
      <name val="Tahoma"/>
      <family val="2"/>
    </font>
    <font>
      <sz val="11"/>
      <color theme="1"/>
      <name val="Calibri"/>
      <family val="2"/>
      <scheme val="minor"/>
    </font>
    <font>
      <sz val="11"/>
      <color indexed="8"/>
      <name val="Calibri"/>
      <family val="2"/>
    </font>
    <font>
      <b/>
      <sz val="11"/>
      <name val="Tahoma"/>
      <family val="2"/>
    </font>
    <font>
      <sz val="11"/>
      <name val="Tahoma"/>
      <family val="2"/>
    </font>
    <font>
      <b/>
      <u/>
      <sz val="11"/>
      <name val="Tahoma"/>
      <family val="2"/>
    </font>
    <font>
      <i/>
      <sz val="11"/>
      <name val="Tahoma"/>
      <family val="2"/>
    </font>
    <font>
      <u/>
      <sz val="11"/>
      <name val="Tahoma"/>
      <family val="2"/>
    </font>
    <font>
      <sz val="11"/>
      <color rgb="FFFF0000"/>
      <name val="Tahoma"/>
      <family val="2"/>
    </font>
    <font>
      <sz val="10"/>
      <name val="Arial"/>
      <family val="2"/>
    </font>
    <font>
      <b/>
      <sz val="11"/>
      <color theme="1"/>
      <name val="Calibri"/>
      <family val="2"/>
      <scheme val="minor"/>
    </font>
    <font>
      <b/>
      <sz val="11"/>
      <color theme="1"/>
      <name val="Calibri"/>
      <family val="2"/>
    </font>
    <font>
      <b/>
      <sz val="11"/>
      <name val="Calibri"/>
      <family val="2"/>
    </font>
    <font>
      <sz val="11"/>
      <color theme="1"/>
      <name val="Calibri"/>
      <family val="2"/>
    </font>
    <font>
      <sz val="11"/>
      <name val="Calibri"/>
      <family val="2"/>
    </font>
    <font>
      <b/>
      <u/>
      <sz val="11"/>
      <name val="Calibri"/>
      <family val="2"/>
    </font>
    <font>
      <u/>
      <sz val="11"/>
      <name val="Calibri"/>
      <family val="2"/>
    </font>
    <font>
      <b/>
      <sz val="11"/>
      <color indexed="62"/>
      <name val="Calibri"/>
      <family val="2"/>
    </font>
    <font>
      <b/>
      <sz val="11"/>
      <name val="Calibri"/>
      <family val="2"/>
      <scheme val="minor"/>
    </font>
    <font>
      <sz val="11"/>
      <name val="Calibri"/>
      <family val="2"/>
      <scheme val="minor"/>
    </font>
    <font>
      <b/>
      <u/>
      <sz val="11"/>
      <name val="Calibri"/>
      <family val="2"/>
      <scheme val="minor"/>
    </font>
    <font>
      <u/>
      <sz val="11"/>
      <name val="Calibri"/>
      <family val="2"/>
      <scheme val="minor"/>
    </font>
    <font>
      <sz val="11"/>
      <color rgb="FFFF0000"/>
      <name val="Calibri"/>
      <family val="2"/>
      <scheme val="minor"/>
    </font>
    <font>
      <u/>
      <sz val="11"/>
      <color theme="1"/>
      <name val="Calibri"/>
      <family val="2"/>
    </font>
    <font>
      <vertAlign val="superscript"/>
      <sz val="11"/>
      <color indexed="8"/>
      <name val="Calibri"/>
      <family val="2"/>
      <scheme val="minor"/>
    </font>
    <font>
      <b/>
      <sz val="10"/>
      <name val="Arial"/>
      <family val="2"/>
    </font>
    <font>
      <sz val="11"/>
      <color theme="0" tint="-0.34998626667073579"/>
      <name val="Calibri"/>
      <family val="2"/>
      <scheme val="minor"/>
    </font>
    <font>
      <vertAlign val="superscript"/>
      <sz val="11"/>
      <color indexed="8"/>
      <name val="Calibri"/>
      <family val="2"/>
    </font>
    <font>
      <b/>
      <sz val="11"/>
      <color rgb="FF000000"/>
      <name val="Calibri"/>
      <family val="2"/>
      <scheme val="minor"/>
    </font>
    <font>
      <sz val="11"/>
      <color rgb="FF000000"/>
      <name val="Calibri"/>
      <family val="2"/>
      <scheme val="minor"/>
    </font>
    <font>
      <b/>
      <sz val="12"/>
      <color indexed="8"/>
      <name val="Calibri"/>
      <family val="2"/>
    </font>
    <font>
      <sz val="12"/>
      <color indexed="8"/>
      <name val="Calibri"/>
      <family val="2"/>
    </font>
    <font>
      <b/>
      <sz val="12"/>
      <color theme="1"/>
      <name val="Calibri"/>
      <family val="2"/>
    </font>
    <font>
      <sz val="12"/>
      <color theme="1"/>
      <name val="Calibri"/>
      <family val="2"/>
    </font>
    <font>
      <b/>
      <u/>
      <sz val="12"/>
      <color theme="1"/>
      <name val="Calibri"/>
      <family val="2"/>
    </font>
    <font>
      <vertAlign val="superscript"/>
      <sz val="12"/>
      <color indexed="8"/>
      <name val="Calibri"/>
      <family val="2"/>
    </font>
    <font>
      <b/>
      <sz val="12"/>
      <name val="Calibri"/>
      <family val="2"/>
    </font>
    <font>
      <b/>
      <u/>
      <sz val="12"/>
      <name val="Calibri"/>
      <family val="2"/>
    </font>
    <font>
      <sz val="12"/>
      <name val="Calibri"/>
      <family val="2"/>
    </font>
    <font>
      <u/>
      <sz val="12"/>
      <name val="Calibri"/>
      <family val="2"/>
    </font>
    <font>
      <sz val="12"/>
      <name val="Calibri"/>
      <family val="2"/>
      <scheme val="minor"/>
    </font>
    <font>
      <b/>
      <i/>
      <sz val="12"/>
      <name val="Calibri"/>
      <family val="2"/>
      <scheme val="minor"/>
    </font>
    <font>
      <b/>
      <sz val="12"/>
      <name val="Calibri"/>
      <family val="2"/>
      <scheme val="minor"/>
    </font>
    <font>
      <b/>
      <u/>
      <sz val="12"/>
      <name val="Calibri"/>
      <family val="2"/>
      <scheme val="minor"/>
    </font>
    <font>
      <u/>
      <sz val="12"/>
      <name val="Calibri"/>
      <family val="2"/>
      <scheme val="minor"/>
    </font>
    <font>
      <sz val="12"/>
      <color theme="1"/>
      <name val="Calibri"/>
      <family val="2"/>
      <scheme val="minor"/>
    </font>
    <font>
      <i/>
      <sz val="12"/>
      <name val="Calibri"/>
      <family val="2"/>
      <scheme val="minor"/>
    </font>
    <font>
      <sz val="10"/>
      <name val="Arial"/>
      <family val="2"/>
    </font>
    <font>
      <sz val="11"/>
      <color indexed="8"/>
      <name val="Calibri"/>
      <family val="2"/>
      <scheme val="minor"/>
    </font>
    <font>
      <b/>
      <sz val="11"/>
      <color indexed="8"/>
      <name val="Calibri"/>
      <family val="2"/>
      <scheme val="minor"/>
    </font>
    <font>
      <u/>
      <sz val="11"/>
      <color theme="1"/>
      <name val="Calibri"/>
      <family val="2"/>
      <scheme val="minor"/>
    </font>
    <font>
      <vertAlign val="superscript"/>
      <sz val="11"/>
      <name val="Calibri"/>
      <family val="2"/>
    </font>
    <font>
      <vertAlign val="superscript"/>
      <sz val="11"/>
      <name val="Calibri"/>
      <family val="2"/>
      <scheme val="minor"/>
    </font>
    <font>
      <sz val="12"/>
      <color rgb="FFFF0000"/>
      <name val="Calibri"/>
      <family val="2"/>
    </font>
    <font>
      <b/>
      <sz val="11"/>
      <color rgb="FFFF000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thin">
        <color indexed="64"/>
      </right>
      <top/>
      <bottom style="double">
        <color indexed="64"/>
      </bottom>
      <diagonal/>
    </border>
    <border>
      <left style="thin">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right/>
      <top style="hair">
        <color indexed="64"/>
      </top>
      <bottom style="hair">
        <color indexed="64"/>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indexed="64"/>
      </left>
      <right style="thin">
        <color indexed="64"/>
      </right>
      <top style="thin">
        <color indexed="64"/>
      </top>
      <bottom style="medium">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indexed="64"/>
      </left>
      <right/>
      <top/>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thin">
        <color auto="1"/>
      </left>
      <right style="thin">
        <color auto="1"/>
      </right>
      <top style="hair">
        <color auto="1"/>
      </top>
      <bottom style="hair">
        <color auto="1"/>
      </bottom>
      <diagonal/>
    </border>
    <border>
      <left/>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indexed="64"/>
      </top>
      <bottom style="hair">
        <color indexed="64"/>
      </bottom>
      <diagonal/>
    </border>
    <border>
      <left style="hair">
        <color auto="1"/>
      </left>
      <right style="hair">
        <color indexed="8"/>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style="hair">
        <color indexed="8"/>
      </left>
      <right style="hair">
        <color indexed="8"/>
      </right>
      <top style="hair">
        <color indexed="8"/>
      </top>
      <bottom style="hair">
        <color indexed="8"/>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top style="hair">
        <color indexed="64"/>
      </top>
      <bottom style="hair">
        <color indexed="64"/>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s>
  <cellStyleXfs count="43">
    <xf numFmtId="0" fontId="0" fillId="0" borderId="0"/>
    <xf numFmtId="0"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applyFont="0" applyFill="0" applyBorder="0" applyAlignment="0" applyProtection="0"/>
    <xf numFmtId="0" fontId="12" fillId="0" borderId="0"/>
    <xf numFmtId="0" fontId="13" fillId="0" borderId="0"/>
    <xf numFmtId="0" fontId="12" fillId="0" borderId="0"/>
    <xf numFmtId="0" fontId="12" fillId="0" borderId="0"/>
    <xf numFmtId="0" fontId="17" fillId="0" borderId="0"/>
    <xf numFmtId="9" fontId="12" fillId="0" borderId="0" applyFont="0" applyFill="0" applyBorder="0" applyAlignment="0" applyProtection="0"/>
    <xf numFmtId="9" fontId="13" fillId="0" borderId="0" applyFont="0" applyFill="0" applyBorder="0" applyAlignment="0" applyProtection="0"/>
    <xf numFmtId="0" fontId="12" fillId="0" borderId="1" applyNumberFormat="0" applyFont="0" applyBorder="0" applyAlignment="0">
      <alignment horizontal="center" vertical="top"/>
    </xf>
    <xf numFmtId="0" fontId="12" fillId="0" borderId="0"/>
    <xf numFmtId="43" fontId="18" fillId="0" borderId="0" applyFont="0" applyFill="0" applyBorder="0" applyAlignment="0" applyProtection="0"/>
    <xf numFmtId="44"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3" fillId="0" borderId="0"/>
    <xf numFmtId="0" fontId="11" fillId="0" borderId="0"/>
    <xf numFmtId="43" fontId="25" fillId="0" borderId="0" applyFont="0" applyFill="0" applyBorder="0" applyAlignment="0" applyProtection="0"/>
    <xf numFmtId="0" fontId="10" fillId="0" borderId="0"/>
    <xf numFmtId="43" fontId="12" fillId="0" borderId="0" applyFont="0" applyFill="0" applyBorder="0" applyAlignment="0" applyProtection="0"/>
    <xf numFmtId="164" fontId="12" fillId="0" borderId="0" applyFont="0" applyFill="0" applyBorder="0" applyAlignment="0" applyProtection="0"/>
    <xf numFmtId="0" fontId="12" fillId="0" borderId="1" applyNumberFormat="0" applyFont="0" applyBorder="0" applyAlignment="0">
      <alignment horizontal="center" vertical="top"/>
    </xf>
    <xf numFmtId="0" fontId="12" fillId="0" borderId="1" applyNumberFormat="0" applyFont="0" applyBorder="0" applyAlignment="0">
      <alignment horizontal="center" vertical="top"/>
    </xf>
    <xf numFmtId="0" fontId="12" fillId="0" borderId="1" applyNumberFormat="0" applyFont="0" applyBorder="0" applyAlignment="0">
      <alignment horizontal="center" vertical="top"/>
    </xf>
    <xf numFmtId="44" fontId="63" fillId="0" borderId="0" applyFont="0" applyFill="0" applyBorder="0" applyAlignment="0" applyProtection="0"/>
    <xf numFmtId="0" fontId="18" fillId="0" borderId="0"/>
    <xf numFmtId="0" fontId="7" fillId="0" borderId="0"/>
    <xf numFmtId="0" fontId="7" fillId="0" borderId="0"/>
    <xf numFmtId="0" fontId="7" fillId="0" borderId="0"/>
  </cellStyleXfs>
  <cellXfs count="1366">
    <xf numFmtId="0" fontId="0" fillId="0" borderId="0" xfId="0"/>
    <xf numFmtId="0" fontId="15" fillId="0" borderId="0" xfId="0" applyFont="1" applyFill="1" applyAlignment="1"/>
    <xf numFmtId="0" fontId="20" fillId="0" borderId="0" xfId="11" applyFont="1" applyAlignment="1">
      <alignment horizontal="left" indent="1"/>
    </xf>
    <xf numFmtId="0" fontId="20" fillId="0" borderId="0" xfId="11" applyFont="1"/>
    <xf numFmtId="0" fontId="20" fillId="0" borderId="0" xfId="11" applyFont="1" applyBorder="1"/>
    <xf numFmtId="0" fontId="19" fillId="0" borderId="0" xfId="11" applyFont="1"/>
    <xf numFmtId="0" fontId="20" fillId="0" borderId="0" xfId="11" applyFont="1" applyAlignment="1">
      <alignment wrapText="1"/>
    </xf>
    <xf numFmtId="0" fontId="19" fillId="0" borderId="0" xfId="11" applyFont="1" applyAlignment="1">
      <alignment horizontal="center"/>
    </xf>
    <xf numFmtId="0" fontId="19" fillId="0" borderId="0" xfId="11" applyFont="1" applyBorder="1" applyAlignment="1">
      <alignment horizontal="center" vertical="center"/>
    </xf>
    <xf numFmtId="0" fontId="14" fillId="0" borderId="0" xfId="0" applyFont="1" applyFill="1" applyBorder="1" applyAlignment="1">
      <alignment horizontal="center" vertical="center"/>
    </xf>
    <xf numFmtId="0" fontId="15" fillId="0" borderId="0" xfId="0" applyFont="1" applyFill="1" applyAlignment="1">
      <alignment horizontal="right"/>
    </xf>
    <xf numFmtId="0" fontId="12" fillId="0" borderId="0" xfId="0" applyFont="1"/>
    <xf numFmtId="0" fontId="34" fillId="0" borderId="0" xfId="0" applyFont="1" applyBorder="1" applyAlignment="1">
      <alignment horizontal="center" vertical="center" wrapText="1"/>
    </xf>
    <xf numFmtId="4" fontId="34" fillId="0" borderId="0" xfId="0" applyNumberFormat="1" applyFont="1" applyBorder="1" applyAlignment="1">
      <alignment horizontal="center" vertical="center"/>
    </xf>
    <xf numFmtId="0" fontId="34" fillId="0" borderId="0" xfId="0" applyFont="1" applyBorder="1" applyAlignment="1">
      <alignment horizontal="center" vertical="center"/>
    </xf>
    <xf numFmtId="0" fontId="36" fillId="0" borderId="8" xfId="0" applyFont="1" applyFill="1" applyBorder="1" applyAlignment="1">
      <alignment horizontal="left" wrapText="1"/>
    </xf>
    <xf numFmtId="4" fontId="35" fillId="0" borderId="8" xfId="0" applyNumberFormat="1" applyFont="1" applyFill="1" applyBorder="1" applyAlignment="1">
      <alignment horizontal="center"/>
    </xf>
    <xf numFmtId="3" fontId="35" fillId="0" borderId="8" xfId="0" applyNumberFormat="1" applyFont="1" applyFill="1" applyBorder="1" applyAlignment="1">
      <alignment horizontal="center"/>
    </xf>
    <xf numFmtId="4" fontId="35" fillId="0" borderId="0" xfId="0" applyNumberFormat="1" applyFont="1" applyFill="1" applyAlignment="1"/>
    <xf numFmtId="0" fontId="35" fillId="0" borderId="0" xfId="0" applyFont="1" applyFill="1" applyAlignment="1"/>
    <xf numFmtId="9" fontId="38" fillId="0" borderId="0" xfId="13" applyFont="1" applyFill="1" applyAlignment="1"/>
    <xf numFmtId="10" fontId="35" fillId="0" borderId="0" xfId="0" applyNumberFormat="1" applyFont="1" applyFill="1" applyAlignment="1"/>
    <xf numFmtId="0" fontId="35" fillId="0" borderId="0" xfId="0" applyFont="1" applyFill="1" applyAlignment="1">
      <alignment horizontal="center"/>
    </xf>
    <xf numFmtId="0" fontId="35" fillId="0" borderId="0" xfId="0" applyFont="1" applyFill="1" applyBorder="1" applyAlignment="1">
      <alignment horizontal="left" wrapText="1"/>
    </xf>
    <xf numFmtId="4" fontId="35" fillId="0" borderId="0" xfId="0" applyNumberFormat="1" applyFont="1" applyFill="1" applyBorder="1" applyAlignment="1">
      <alignment horizontal="center"/>
    </xf>
    <xf numFmtId="3" fontId="35" fillId="0" borderId="0" xfId="0" applyNumberFormat="1" applyFont="1" applyFill="1" applyBorder="1" applyAlignment="1">
      <alignment horizontal="center"/>
    </xf>
    <xf numFmtId="43" fontId="35" fillId="0" borderId="0" xfId="33" applyFont="1" applyFill="1" applyBorder="1" applyAlignment="1">
      <alignment horizontal="right"/>
    </xf>
    <xf numFmtId="4" fontId="35" fillId="0" borderId="0" xfId="0" applyNumberFormat="1" applyFont="1" applyFill="1" applyAlignment="1">
      <alignment horizontal="center"/>
    </xf>
    <xf numFmtId="3" fontId="35" fillId="0" borderId="0" xfId="0" applyNumberFormat="1" applyFont="1" applyFill="1" applyAlignment="1">
      <alignment horizontal="center"/>
    </xf>
    <xf numFmtId="43" fontId="35" fillId="0" borderId="0" xfId="33" applyFont="1" applyFill="1" applyAlignment="1">
      <alignment horizontal="right"/>
    </xf>
    <xf numFmtId="0" fontId="36" fillId="0" borderId="8" xfId="0" applyFont="1" applyFill="1" applyBorder="1" applyAlignment="1">
      <alignment horizontal="center" vertical="center"/>
    </xf>
    <xf numFmtId="0" fontId="36" fillId="0" borderId="8" xfId="0" applyFont="1" applyFill="1" applyBorder="1" applyAlignment="1">
      <alignment horizontal="left" vertical="center" wrapText="1"/>
    </xf>
    <xf numFmtId="0" fontId="35" fillId="0" borderId="0" xfId="0" applyFont="1"/>
    <xf numFmtId="0" fontId="15" fillId="0" borderId="8" xfId="0" applyFont="1" applyFill="1" applyBorder="1" applyAlignment="1">
      <alignment horizontal="center"/>
    </xf>
    <xf numFmtId="4" fontId="15" fillId="0" borderId="8" xfId="0" applyNumberFormat="1" applyFont="1" applyFill="1" applyBorder="1" applyAlignment="1">
      <alignment horizontal="center"/>
    </xf>
    <xf numFmtId="3" fontId="35" fillId="0" borderId="8" xfId="0" applyNumberFormat="1" applyFont="1" applyFill="1" applyBorder="1" applyAlignment="1">
      <alignment horizontal="center" vertical="center"/>
    </xf>
    <xf numFmtId="165" fontId="35" fillId="0" borderId="8" xfId="0" applyNumberFormat="1" applyFont="1" applyFill="1" applyBorder="1" applyAlignment="1">
      <alignment horizontal="center"/>
    </xf>
    <xf numFmtId="0" fontId="36" fillId="0" borderId="8" xfId="0" applyFont="1" applyFill="1" applyBorder="1" applyAlignment="1">
      <alignment horizontal="left" indent="1"/>
    </xf>
    <xf numFmtId="165" fontId="15" fillId="0" borderId="8" xfId="0" applyNumberFormat="1" applyFont="1" applyFill="1" applyBorder="1" applyAlignment="1">
      <alignment horizontal="center"/>
    </xf>
    <xf numFmtId="0" fontId="29" fillId="0" borderId="8" xfId="0" applyFont="1" applyBorder="1"/>
    <xf numFmtId="0" fontId="29" fillId="0" borderId="8" xfId="0" applyFont="1" applyFill="1" applyBorder="1" applyAlignment="1">
      <alignment horizontal="center" wrapText="1"/>
    </xf>
    <xf numFmtId="3" fontId="30" fillId="0" borderId="8" xfId="0" applyNumberFormat="1" applyFont="1" applyFill="1" applyBorder="1" applyAlignment="1">
      <alignment horizontal="center" vertical="center"/>
    </xf>
    <xf numFmtId="3" fontId="30" fillId="0" borderId="8" xfId="34" applyNumberFormat="1" applyFont="1" applyFill="1" applyBorder="1" applyAlignment="1">
      <alignment horizontal="center" vertical="center"/>
    </xf>
    <xf numFmtId="0" fontId="16" fillId="0" borderId="8" xfId="0" applyFont="1" applyFill="1" applyBorder="1" applyAlignment="1">
      <alignment horizontal="left" wrapText="1"/>
    </xf>
    <xf numFmtId="43" fontId="0" fillId="0" borderId="0" xfId="31" applyFont="1"/>
    <xf numFmtId="0" fontId="41" fillId="0" borderId="0" xfId="0" applyFont="1"/>
    <xf numFmtId="0" fontId="27" fillId="2" borderId="8" xfId="0" applyFont="1" applyFill="1" applyBorder="1" applyAlignment="1">
      <alignment horizontal="center" vertical="center" wrapText="1"/>
    </xf>
    <xf numFmtId="3" fontId="28" fillId="2" borderId="8" xfId="0" applyNumberFormat="1" applyFont="1" applyFill="1" applyBorder="1" applyAlignment="1">
      <alignment horizontal="center" vertical="center" wrapText="1"/>
    </xf>
    <xf numFmtId="3" fontId="28" fillId="2" borderId="8" xfId="34" applyNumberFormat="1" applyFont="1" applyFill="1" applyBorder="1" applyAlignment="1">
      <alignment horizontal="center" vertical="center" wrapText="1"/>
    </xf>
    <xf numFmtId="0" fontId="35" fillId="0" borderId="0" xfId="0" applyFont="1" applyFill="1"/>
    <xf numFmtId="0" fontId="36" fillId="0" borderId="0" xfId="0" applyFont="1" applyFill="1" applyBorder="1" applyAlignment="1">
      <alignment horizontal="left" indent="1"/>
    </xf>
    <xf numFmtId="165" fontId="35" fillId="0" borderId="8" xfId="0" applyNumberFormat="1" applyFont="1" applyFill="1" applyBorder="1" applyAlignment="1"/>
    <xf numFmtId="0" fontId="29" fillId="0" borderId="0" xfId="0" applyFont="1" applyFill="1" applyBorder="1" applyAlignment="1"/>
    <xf numFmtId="0" fontId="16" fillId="0" borderId="8" xfId="0" applyFont="1" applyFill="1" applyBorder="1" applyAlignment="1">
      <alignment wrapText="1"/>
    </xf>
    <xf numFmtId="0" fontId="9" fillId="0" borderId="8" xfId="0" applyFont="1" applyFill="1" applyBorder="1" applyAlignment="1">
      <alignment horizontal="right" vertical="center"/>
    </xf>
    <xf numFmtId="43" fontId="9" fillId="0" borderId="8" xfId="0" applyNumberFormat="1" applyFont="1" applyFill="1" applyBorder="1" applyAlignment="1"/>
    <xf numFmtId="43" fontId="35" fillId="0" borderId="8" xfId="4" applyNumberFormat="1" applyFont="1" applyFill="1" applyBorder="1" applyAlignment="1"/>
    <xf numFmtId="0" fontId="16" fillId="0" borderId="8" xfId="0" applyFont="1" applyFill="1" applyBorder="1" applyAlignment="1">
      <alignment horizontal="center" wrapText="1"/>
    </xf>
    <xf numFmtId="0" fontId="34" fillId="4" borderId="8" xfId="0" applyFont="1" applyFill="1" applyBorder="1" applyAlignment="1">
      <alignment horizontal="center" vertical="center" wrapText="1"/>
    </xf>
    <xf numFmtId="165" fontId="34" fillId="4" borderId="8" xfId="0" applyNumberFormat="1" applyFont="1" applyFill="1" applyBorder="1" applyAlignment="1">
      <alignment horizontal="center" vertical="center" wrapText="1"/>
    </xf>
    <xf numFmtId="167" fontId="34" fillId="4" borderId="8" xfId="0" applyNumberFormat="1" applyFont="1" applyFill="1" applyBorder="1" applyAlignment="1">
      <alignment horizontal="center" vertical="center" wrapText="1"/>
    </xf>
    <xf numFmtId="0" fontId="42" fillId="4" borderId="0" xfId="0" applyFont="1" applyFill="1"/>
    <xf numFmtId="0" fontId="35" fillId="4" borderId="0" xfId="0" applyFont="1" applyFill="1"/>
    <xf numFmtId="0" fontId="35" fillId="4" borderId="8" xfId="0" applyFont="1" applyFill="1" applyBorder="1" applyAlignment="1">
      <alignment horizontal="center"/>
    </xf>
    <xf numFmtId="0" fontId="36" fillId="4" borderId="8" xfId="0" applyFont="1" applyFill="1" applyBorder="1" applyAlignment="1">
      <alignment horizontal="left" indent="1"/>
    </xf>
    <xf numFmtId="4" fontId="42" fillId="4" borderId="0" xfId="0" applyNumberFormat="1" applyFont="1" applyFill="1" applyAlignment="1"/>
    <xf numFmtId="0" fontId="35" fillId="4" borderId="0" xfId="0" applyFont="1" applyFill="1" applyAlignment="1"/>
    <xf numFmtId="0" fontId="36" fillId="4" borderId="8" xfId="0" applyFont="1" applyFill="1" applyBorder="1" applyAlignment="1">
      <alignment horizontal="left" wrapText="1"/>
    </xf>
    <xf numFmtId="0" fontId="35" fillId="4" borderId="8" xfId="0" applyFont="1" applyFill="1" applyBorder="1"/>
    <xf numFmtId="0" fontId="26" fillId="4" borderId="8" xfId="0" applyFont="1" applyFill="1" applyBorder="1" applyAlignment="1">
      <alignment horizontal="left" wrapText="1"/>
    </xf>
    <xf numFmtId="0" fontId="26" fillId="4" borderId="8" xfId="0" applyFont="1" applyFill="1" applyBorder="1" applyAlignment="1">
      <alignment horizontal="center"/>
    </xf>
    <xf numFmtId="0" fontId="26" fillId="4" borderId="8" xfId="0" applyFont="1" applyFill="1" applyBorder="1" applyAlignment="1">
      <alignment wrapText="1"/>
    </xf>
    <xf numFmtId="0" fontId="35" fillId="4" borderId="8" xfId="0" applyFont="1" applyFill="1" applyBorder="1" applyAlignment="1">
      <alignment wrapText="1"/>
    </xf>
    <xf numFmtId="2" fontId="35" fillId="4" borderId="8" xfId="0" applyNumberFormat="1" applyFont="1" applyFill="1" applyBorder="1" applyAlignment="1">
      <alignment horizontal="center"/>
    </xf>
    <xf numFmtId="0" fontId="29" fillId="4" borderId="0" xfId="0" applyFont="1" applyFill="1" applyBorder="1" applyAlignment="1"/>
    <xf numFmtId="0" fontId="27" fillId="4" borderId="0" xfId="0" applyFont="1" applyFill="1" applyBorder="1" applyAlignment="1"/>
    <xf numFmtId="0" fontId="27" fillId="0" borderId="0" xfId="0" applyFont="1" applyFill="1" applyBorder="1" applyAlignment="1"/>
    <xf numFmtId="0" fontId="30" fillId="0" borderId="0" xfId="0" applyFont="1" applyFill="1" applyBorder="1" applyAlignment="1">
      <alignment wrapText="1"/>
    </xf>
    <xf numFmtId="0" fontId="0" fillId="0" borderId="0" xfId="0" applyFill="1"/>
    <xf numFmtId="0" fontId="34" fillId="2" borderId="2" xfId="0" applyFont="1" applyFill="1" applyBorder="1" applyAlignment="1">
      <alignment horizontal="center" vertical="center" wrapText="1"/>
    </xf>
    <xf numFmtId="0" fontId="34" fillId="2" borderId="2" xfId="0" applyFont="1" applyFill="1" applyBorder="1" applyAlignment="1">
      <alignment horizontal="center" vertical="center"/>
    </xf>
    <xf numFmtId="43" fontId="34" fillId="2" borderId="2" xfId="31" applyFont="1" applyFill="1" applyBorder="1" applyAlignment="1">
      <alignment horizontal="center" vertical="center" wrapText="1"/>
    </xf>
    <xf numFmtId="43" fontId="42" fillId="0" borderId="0" xfId="31" applyFont="1" applyFill="1"/>
    <xf numFmtId="0" fontId="35" fillId="0" borderId="3" xfId="0" applyFont="1" applyFill="1" applyBorder="1" applyAlignment="1">
      <alignment horizontal="center"/>
    </xf>
    <xf numFmtId="0" fontId="35" fillId="0" borderId="3" xfId="0" applyFont="1" applyFill="1" applyBorder="1" applyAlignment="1"/>
    <xf numFmtId="43" fontId="35" fillId="0" borderId="3" xfId="31" applyFont="1" applyFill="1" applyBorder="1" applyAlignment="1"/>
    <xf numFmtId="43" fontId="42" fillId="0" borderId="0" xfId="31" applyFont="1" applyFill="1" applyAlignment="1"/>
    <xf numFmtId="0" fontId="35" fillId="0" borderId="3" xfId="0" applyFont="1" applyBorder="1" applyAlignment="1">
      <alignment horizontal="center"/>
    </xf>
    <xf numFmtId="1" fontId="35" fillId="0" borderId="3" xfId="0" applyNumberFormat="1" applyFont="1" applyBorder="1" applyAlignment="1">
      <alignment horizontal="center"/>
    </xf>
    <xf numFmtId="43" fontId="35" fillId="0" borderId="3" xfId="31" applyFont="1" applyBorder="1"/>
    <xf numFmtId="43" fontId="42" fillId="0" borderId="0" xfId="31" applyFont="1"/>
    <xf numFmtId="0" fontId="36" fillId="0" borderId="3" xfId="0" applyFont="1" applyBorder="1" applyAlignment="1">
      <alignment horizontal="left" indent="1"/>
    </xf>
    <xf numFmtId="0" fontId="35" fillId="0" borderId="0" xfId="0" applyFont="1" applyBorder="1" applyAlignment="1">
      <alignment horizontal="left" indent="1"/>
    </xf>
    <xf numFmtId="1" fontId="36" fillId="0" borderId="3" xfId="0" applyNumberFormat="1" applyFont="1" applyBorder="1" applyAlignment="1">
      <alignment horizontal="center"/>
    </xf>
    <xf numFmtId="0" fontId="35" fillId="0" borderId="3" xfId="0" applyFont="1" applyBorder="1" applyAlignment="1">
      <alignment horizontal="left" indent="1"/>
    </xf>
    <xf numFmtId="49" fontId="35" fillId="0" borderId="3" xfId="0" quotePrefix="1" applyNumberFormat="1" applyFont="1" applyBorder="1" applyAlignment="1">
      <alignment horizontal="center"/>
    </xf>
    <xf numFmtId="49" fontId="35" fillId="0" borderId="3" xfId="0" applyNumberFormat="1" applyFont="1" applyBorder="1" applyAlignment="1">
      <alignment horizontal="center"/>
    </xf>
    <xf numFmtId="43" fontId="38" fillId="0" borderId="3" xfId="31" applyFont="1" applyBorder="1"/>
    <xf numFmtId="4" fontId="35" fillId="0" borderId="3" xfId="0" applyNumberFormat="1" applyFont="1" applyBorder="1" applyAlignment="1">
      <alignment horizontal="left" indent="1"/>
    </xf>
    <xf numFmtId="49" fontId="35" fillId="0" borderId="4" xfId="0" applyNumberFormat="1" applyFont="1" applyBorder="1" applyAlignment="1">
      <alignment horizontal="center"/>
    </xf>
    <xf numFmtId="43" fontId="35" fillId="0" borderId="3" xfId="0" applyNumberFormat="1" applyFont="1" applyBorder="1" applyAlignment="1">
      <alignment horizontal="left" indent="1"/>
    </xf>
    <xf numFmtId="43" fontId="42" fillId="0" borderId="3" xfId="31" applyFont="1" applyBorder="1" applyAlignment="1">
      <alignment horizontal="left" indent="1"/>
    </xf>
    <xf numFmtId="0" fontId="34" fillId="0" borderId="3" xfId="0" applyFont="1" applyBorder="1" applyAlignment="1">
      <alignment horizontal="left" indent="1"/>
    </xf>
    <xf numFmtId="1" fontId="34" fillId="0" borderId="3" xfId="0" applyNumberFormat="1" applyFont="1" applyBorder="1" applyAlignment="1">
      <alignment horizontal="center"/>
    </xf>
    <xf numFmtId="43" fontId="34" fillId="0" borderId="3" xfId="31" applyFont="1" applyBorder="1"/>
    <xf numFmtId="0" fontId="35" fillId="0" borderId="3" xfId="0" applyFont="1" applyBorder="1"/>
    <xf numFmtId="43" fontId="42" fillId="0" borderId="0" xfId="31" applyFont="1" applyBorder="1"/>
    <xf numFmtId="0" fontId="35" fillId="0" borderId="0" xfId="0" applyFont="1" applyBorder="1"/>
    <xf numFmtId="164" fontId="35" fillId="0" borderId="3" xfId="0" applyNumberFormat="1" applyFont="1" applyBorder="1"/>
    <xf numFmtId="4" fontId="35" fillId="0" borderId="3" xfId="0" applyNumberFormat="1" applyFont="1" applyBorder="1"/>
    <xf numFmtId="0" fontId="35" fillId="0" borderId="0" xfId="0" applyFont="1" applyBorder="1" applyAlignment="1">
      <alignment horizontal="center"/>
    </xf>
    <xf numFmtId="1" fontId="35" fillId="0" borderId="0" xfId="0" applyNumberFormat="1" applyFont="1" applyBorder="1" applyAlignment="1">
      <alignment horizontal="center"/>
    </xf>
    <xf numFmtId="43" fontId="35" fillId="0" borderId="0" xfId="31" applyFont="1" applyBorder="1"/>
    <xf numFmtId="0" fontId="19" fillId="0" borderId="8" xfId="11" applyFont="1" applyBorder="1" applyAlignment="1">
      <alignment horizontal="center"/>
    </xf>
    <xf numFmtId="0" fontId="20" fillId="0" borderId="8" xfId="11" applyFont="1" applyBorder="1" applyAlignment="1">
      <alignment horizontal="left" indent="1"/>
    </xf>
    <xf numFmtId="0" fontId="20" fillId="0" borderId="8" xfId="11" applyFont="1" applyBorder="1"/>
    <xf numFmtId="43" fontId="20" fillId="0" borderId="6" xfId="33" applyFont="1" applyBorder="1"/>
    <xf numFmtId="0" fontId="15" fillId="0" borderId="8" xfId="0" applyFont="1" applyFill="1" applyBorder="1" applyAlignment="1">
      <alignment horizontal="center" vertical="center"/>
    </xf>
    <xf numFmtId="0" fontId="14" fillId="0" borderId="8" xfId="0" applyFont="1" applyFill="1" applyBorder="1" applyAlignment="1">
      <alignment horizontal="left" vertical="center" wrapText="1"/>
    </xf>
    <xf numFmtId="0" fontId="14" fillId="0" borderId="8" xfId="0" applyFont="1" applyFill="1" applyBorder="1" applyAlignment="1">
      <alignment horizontal="center" vertical="center"/>
    </xf>
    <xf numFmtId="165" fontId="14" fillId="0" borderId="8" xfId="0" applyNumberFormat="1" applyFont="1" applyFill="1" applyBorder="1" applyAlignment="1">
      <alignment horizontal="center" vertical="center"/>
    </xf>
    <xf numFmtId="4" fontId="15" fillId="0" borderId="8" xfId="0" applyNumberFormat="1" applyFont="1" applyFill="1" applyBorder="1" applyAlignment="1">
      <alignment horizontal="center" vertical="center"/>
    </xf>
    <xf numFmtId="43" fontId="20" fillId="0" borderId="5" xfId="33" applyFont="1" applyBorder="1"/>
    <xf numFmtId="0" fontId="19" fillId="0" borderId="8" xfId="11" applyFont="1" applyBorder="1" applyAlignment="1">
      <alignment horizontal="left" indent="1"/>
    </xf>
    <xf numFmtId="0" fontId="20" fillId="0" borderId="8" xfId="11" applyFont="1" applyBorder="1" applyAlignment="1">
      <alignment horizontal="left" wrapText="1"/>
    </xf>
    <xf numFmtId="0" fontId="20" fillId="0" borderId="8" xfId="11" applyFont="1" applyBorder="1" applyAlignment="1">
      <alignment wrapText="1"/>
    </xf>
    <xf numFmtId="43" fontId="20" fillId="0" borderId="5" xfId="33" applyFont="1" applyBorder="1" applyAlignment="1">
      <alignment wrapText="1"/>
    </xf>
    <xf numFmtId="0" fontId="20" fillId="0" borderId="8" xfId="11" applyFont="1" applyBorder="1" applyAlignment="1">
      <alignment horizontal="left"/>
    </xf>
    <xf numFmtId="0" fontId="24" fillId="0" borderId="8" xfId="11" applyFont="1" applyBorder="1" applyAlignment="1">
      <alignment horizontal="left"/>
    </xf>
    <xf numFmtId="0" fontId="19" fillId="0" borderId="8" xfId="11" applyFont="1" applyBorder="1" applyAlignment="1">
      <alignment horizontal="center" vertical="center"/>
    </xf>
    <xf numFmtId="0" fontId="20" fillId="0" borderId="8" xfId="11" applyFont="1" applyFill="1" applyBorder="1" applyAlignment="1">
      <alignment horizontal="left" indent="1"/>
    </xf>
    <xf numFmtId="0" fontId="19" fillId="0" borderId="8" xfId="11" applyFont="1" applyFill="1" applyBorder="1" applyAlignment="1">
      <alignment horizontal="left" indent="1"/>
    </xf>
    <xf numFmtId="0" fontId="19" fillId="0" borderId="8" xfId="11" applyFont="1" applyBorder="1"/>
    <xf numFmtId="43" fontId="20" fillId="0" borderId="7" xfId="33" applyFont="1" applyBorder="1"/>
    <xf numFmtId="0" fontId="19" fillId="0" borderId="8" xfId="11" applyFont="1" applyBorder="1" applyAlignment="1">
      <alignment horizontal="center" wrapText="1"/>
    </xf>
    <xf numFmtId="0" fontId="21" fillId="0" borderId="8" xfId="11" applyFont="1" applyFill="1" applyBorder="1" applyAlignment="1">
      <alignment horizontal="left" indent="1"/>
    </xf>
    <xf numFmtId="43" fontId="19" fillId="0" borderId="5" xfId="33" applyFont="1" applyBorder="1"/>
    <xf numFmtId="0" fontId="22" fillId="0" borderId="8" xfId="11" applyFont="1" applyFill="1" applyBorder="1" applyAlignment="1">
      <alignment horizontal="left" indent="1"/>
    </xf>
    <xf numFmtId="0" fontId="21" fillId="0" borderId="8" xfId="11" applyFont="1" applyBorder="1" applyAlignment="1">
      <alignment horizontal="left"/>
    </xf>
    <xf numFmtId="43" fontId="20" fillId="0" borderId="5" xfId="33" applyFont="1" applyBorder="1" applyAlignment="1">
      <alignment horizontal="right"/>
    </xf>
    <xf numFmtId="43" fontId="20" fillId="0" borderId="6" xfId="33" applyFont="1" applyBorder="1" applyAlignment="1">
      <alignment horizontal="right"/>
    </xf>
    <xf numFmtId="0" fontId="21" fillId="0" borderId="8" xfId="10" applyFont="1" applyBorder="1" applyAlignment="1">
      <alignment horizontal="left" vertical="center" indent="1"/>
    </xf>
    <xf numFmtId="0" fontId="21" fillId="0" borderId="8" xfId="10" applyFont="1" applyBorder="1" applyAlignment="1">
      <alignment vertical="center"/>
    </xf>
    <xf numFmtId="0" fontId="21" fillId="0" borderId="8" xfId="10" applyFont="1" applyBorder="1" applyAlignment="1">
      <alignment horizontal="left" vertical="center" wrapText="1" indent="1"/>
    </xf>
    <xf numFmtId="0" fontId="20" fillId="0" borderId="8" xfId="11" applyFont="1" applyBorder="1" applyAlignment="1">
      <alignment vertical="center"/>
    </xf>
    <xf numFmtId="43" fontId="19" fillId="0" borderId="5" xfId="33" applyFont="1" applyBorder="1" applyAlignment="1">
      <alignment horizontal="right" vertical="center"/>
    </xf>
    <xf numFmtId="43" fontId="20" fillId="0" borderId="5" xfId="33" applyFont="1" applyBorder="1" applyAlignment="1">
      <alignment horizontal="right" vertical="center"/>
    </xf>
    <xf numFmtId="43" fontId="20" fillId="0" borderId="10" xfId="33" applyFont="1" applyBorder="1" applyAlignment="1">
      <alignment horizontal="right"/>
    </xf>
    <xf numFmtId="43" fontId="20" fillId="0" borderId="0" xfId="33" applyFont="1"/>
    <xf numFmtId="0" fontId="52" fillId="0" borderId="0" xfId="0" applyFont="1" applyFill="1" applyAlignment="1"/>
    <xf numFmtId="0" fontId="34" fillId="0" borderId="0" xfId="0" applyFont="1"/>
    <xf numFmtId="3" fontId="35" fillId="4" borderId="12" xfId="0" applyNumberFormat="1" applyFont="1" applyFill="1" applyBorder="1" applyAlignment="1">
      <alignment horizontal="center"/>
    </xf>
    <xf numFmtId="165" fontId="35" fillId="4" borderId="12" xfId="0" applyNumberFormat="1" applyFont="1" applyFill="1" applyBorder="1" applyAlignment="1">
      <alignment horizontal="center"/>
    </xf>
    <xf numFmtId="3" fontId="28" fillId="4" borderId="12" xfId="34" applyNumberFormat="1" applyFont="1" applyFill="1" applyBorder="1" applyAlignment="1">
      <alignment horizontal="center" vertical="center" wrapText="1"/>
    </xf>
    <xf numFmtId="0" fontId="29" fillId="4" borderId="12" xfId="0" applyFont="1" applyFill="1" applyBorder="1" applyAlignment="1"/>
    <xf numFmtId="0" fontId="29" fillId="0" borderId="12" xfId="0" applyFont="1" applyFill="1" applyBorder="1" applyAlignment="1"/>
    <xf numFmtId="0" fontId="35" fillId="5" borderId="0" xfId="0" applyFont="1" applyFill="1"/>
    <xf numFmtId="1" fontId="47" fillId="4" borderId="13" xfId="0" applyNumberFormat="1" applyFont="1" applyFill="1" applyBorder="1" applyAlignment="1">
      <alignment horizontal="right" vertical="top" wrapText="1"/>
    </xf>
    <xf numFmtId="43" fontId="47" fillId="4" borderId="13" xfId="31" applyFont="1" applyFill="1" applyBorder="1" applyAlignment="1">
      <alignment horizontal="right" vertical="top" wrapText="1"/>
    </xf>
    <xf numFmtId="0" fontId="47" fillId="4" borderId="0" xfId="0" applyNumberFormat="1" applyFont="1" applyFill="1" applyAlignment="1">
      <alignment vertical="top" wrapText="1"/>
    </xf>
    <xf numFmtId="0" fontId="47" fillId="5" borderId="0" xfId="0" applyNumberFormat="1" applyFont="1" applyFill="1" applyAlignment="1">
      <alignment vertical="top" wrapText="1"/>
    </xf>
    <xf numFmtId="0" fontId="47" fillId="5" borderId="0" xfId="0" applyFont="1" applyFill="1" applyAlignment="1">
      <alignment vertical="top" wrapText="1"/>
    </xf>
    <xf numFmtId="0" fontId="46" fillId="4" borderId="13" xfId="0" applyFont="1" applyFill="1" applyBorder="1" applyAlignment="1">
      <alignment wrapText="1"/>
    </xf>
    <xf numFmtId="0" fontId="47" fillId="4" borderId="13" xfId="0" applyNumberFormat="1" applyFont="1" applyFill="1" applyBorder="1" applyAlignment="1">
      <alignment horizontal="center" vertical="top" wrapText="1"/>
    </xf>
    <xf numFmtId="0" fontId="47" fillId="4" borderId="13" xfId="0" applyNumberFormat="1" applyFont="1" applyFill="1" applyBorder="1" applyAlignment="1">
      <alignment vertical="top" wrapText="1"/>
    </xf>
    <xf numFmtId="1" fontId="47" fillId="4" borderId="13" xfId="0" applyNumberFormat="1" applyFont="1" applyFill="1" applyBorder="1" applyAlignment="1">
      <alignment horizontal="center" vertical="top" wrapText="1"/>
    </xf>
    <xf numFmtId="0" fontId="46" fillId="4" borderId="13" xfId="0" applyNumberFormat="1" applyFont="1" applyFill="1" applyBorder="1" applyAlignment="1">
      <alignment vertical="top" wrapText="1"/>
    </xf>
    <xf numFmtId="0" fontId="46" fillId="4" borderId="13" xfId="0" applyNumberFormat="1" applyFont="1" applyFill="1" applyBorder="1" applyAlignment="1">
      <alignment horizontal="center" vertical="top" wrapText="1"/>
    </xf>
    <xf numFmtId="1" fontId="46" fillId="4" borderId="13" xfId="0" applyNumberFormat="1" applyFont="1" applyFill="1" applyBorder="1" applyAlignment="1">
      <alignment horizontal="center" vertical="top" wrapText="1"/>
    </xf>
    <xf numFmtId="0" fontId="46" fillId="4" borderId="0" xfId="0" applyNumberFormat="1" applyFont="1" applyFill="1" applyAlignment="1">
      <alignment vertical="top" wrapText="1"/>
    </xf>
    <xf numFmtId="0" fontId="46" fillId="5" borderId="0" xfId="0" applyNumberFormat="1" applyFont="1" applyFill="1" applyAlignment="1">
      <alignment vertical="top" wrapText="1"/>
    </xf>
    <xf numFmtId="0" fontId="46" fillId="5" borderId="0" xfId="0" applyFont="1" applyFill="1" applyAlignment="1">
      <alignment vertical="top" wrapText="1"/>
    </xf>
    <xf numFmtId="1" fontId="46" fillId="4" borderId="13" xfId="0" applyNumberFormat="1" applyFont="1" applyFill="1" applyBorder="1" applyAlignment="1">
      <alignment horizontal="right" vertical="top" wrapText="1"/>
    </xf>
    <xf numFmtId="0" fontId="47" fillId="4" borderId="13" xfId="0" applyFont="1" applyFill="1" applyBorder="1" applyAlignment="1">
      <alignment wrapText="1"/>
    </xf>
    <xf numFmtId="43" fontId="47" fillId="4" borderId="13" xfId="31" applyFont="1" applyFill="1" applyBorder="1" applyAlignment="1">
      <alignment wrapText="1"/>
    </xf>
    <xf numFmtId="0" fontId="47" fillId="4" borderId="0" xfId="0" applyFont="1" applyFill="1" applyAlignment="1"/>
    <xf numFmtId="0" fontId="47" fillId="5" borderId="0" xfId="0" applyFont="1" applyFill="1" applyAlignment="1"/>
    <xf numFmtId="0" fontId="48" fillId="4" borderId="13" xfId="0" applyFont="1" applyFill="1" applyBorder="1" applyAlignment="1">
      <alignment wrapText="1"/>
    </xf>
    <xf numFmtId="43" fontId="34" fillId="4" borderId="12" xfId="31" applyFont="1" applyFill="1" applyBorder="1" applyAlignment="1">
      <alignment horizontal="center" vertical="center" wrapText="1"/>
    </xf>
    <xf numFmtId="43" fontId="49" fillId="4" borderId="13" xfId="31" applyFont="1" applyFill="1" applyBorder="1" applyAlignment="1">
      <alignment horizontal="right" vertical="center"/>
    </xf>
    <xf numFmtId="0" fontId="47" fillId="4" borderId="13" xfId="0" applyFont="1" applyFill="1" applyBorder="1" applyAlignment="1"/>
    <xf numFmtId="0" fontId="46" fillId="4" borderId="0" xfId="0" applyFont="1" applyFill="1" applyAlignment="1"/>
    <xf numFmtId="0" fontId="46" fillId="5" borderId="0" xfId="0" applyFont="1" applyFill="1" applyAlignment="1"/>
    <xf numFmtId="0" fontId="29" fillId="4" borderId="15" xfId="0" applyFont="1" applyFill="1" applyBorder="1" applyAlignment="1"/>
    <xf numFmtId="0" fontId="29" fillId="0" borderId="15" xfId="0" applyFont="1" applyFill="1" applyBorder="1" applyAlignment="1"/>
    <xf numFmtId="0" fontId="27" fillId="4" borderId="16" xfId="0" applyFont="1" applyFill="1" applyBorder="1" applyAlignment="1">
      <alignment horizontal="right" vertical="center"/>
    </xf>
    <xf numFmtId="43" fontId="52" fillId="4" borderId="15" xfId="31" applyFont="1" applyFill="1" applyBorder="1" applyAlignment="1">
      <alignment horizontal="right" indent="1"/>
    </xf>
    <xf numFmtId="3" fontId="53" fillId="4" borderId="15" xfId="0" applyNumberFormat="1" applyFont="1" applyFill="1" applyBorder="1" applyAlignment="1">
      <alignment horizontal="center"/>
    </xf>
    <xf numFmtId="165" fontId="53" fillId="4" borderId="15" xfId="0" applyNumberFormat="1" applyFont="1" applyFill="1" applyBorder="1" applyAlignment="1">
      <alignment horizontal="center"/>
    </xf>
    <xf numFmtId="4" fontId="53" fillId="4" borderId="15" xfId="0" applyNumberFormat="1" applyFont="1" applyFill="1" applyBorder="1" applyAlignment="1">
      <alignment horizontal="center"/>
    </xf>
    <xf numFmtId="43" fontId="54" fillId="4" borderId="15" xfId="31" applyFont="1" applyFill="1" applyBorder="1" applyAlignment="1">
      <alignment horizontal="right" indent="1"/>
    </xf>
    <xf numFmtId="0" fontId="53" fillId="4" borderId="0" xfId="0" applyFont="1" applyFill="1" applyAlignment="1"/>
    <xf numFmtId="0" fontId="53" fillId="5" borderId="0" xfId="0" applyFont="1" applyFill="1" applyAlignment="1"/>
    <xf numFmtId="0" fontId="54" fillId="4" borderId="15" xfId="27" applyFont="1" applyFill="1" applyBorder="1" applyAlignment="1">
      <alignment horizontal="right" vertical="center"/>
    </xf>
    <xf numFmtId="4" fontId="55" fillId="4" borderId="15" xfId="0" applyNumberFormat="1" applyFont="1" applyFill="1" applyBorder="1" applyAlignment="1">
      <alignment horizontal="left" wrapText="1"/>
    </xf>
    <xf numFmtId="4" fontId="54" fillId="4" borderId="15" xfId="0" applyNumberFormat="1" applyFont="1" applyFill="1" applyBorder="1" applyAlignment="1">
      <alignment horizontal="center"/>
    </xf>
    <xf numFmtId="165" fontId="54" fillId="4" borderId="15" xfId="0" applyNumberFormat="1" applyFont="1" applyFill="1" applyBorder="1" applyAlignment="1">
      <alignment horizontal="center"/>
    </xf>
    <xf numFmtId="0" fontId="54" fillId="4" borderId="0" xfId="0" applyFont="1" applyFill="1" applyAlignment="1"/>
    <xf numFmtId="0" fontId="54" fillId="5" borderId="0" xfId="0" applyFont="1" applyFill="1" applyAlignment="1"/>
    <xf numFmtId="3" fontId="54" fillId="4" borderId="15" xfId="0" applyNumberFormat="1" applyFont="1" applyFill="1" applyBorder="1" applyAlignment="1">
      <alignment horizontal="center"/>
    </xf>
    <xf numFmtId="3" fontId="54" fillId="4" borderId="15" xfId="0" applyNumberFormat="1" applyFont="1" applyFill="1" applyBorder="1" applyAlignment="1">
      <alignment horizontal="left" wrapText="1"/>
    </xf>
    <xf numFmtId="3" fontId="53" fillId="4" borderId="15" xfId="0" applyNumberFormat="1" applyFont="1" applyFill="1" applyBorder="1" applyAlignment="1">
      <alignment horizontal="left" wrapText="1"/>
    </xf>
    <xf numFmtId="4" fontId="53" fillId="4" borderId="15" xfId="0" applyNumberFormat="1" applyFont="1" applyFill="1" applyBorder="1" applyAlignment="1">
      <alignment horizontal="left" wrapText="1"/>
    </xf>
    <xf numFmtId="0" fontId="47" fillId="4" borderId="0" xfId="0" applyFont="1" applyFill="1" applyAlignment="1">
      <alignment vertical="center" wrapText="1"/>
    </xf>
    <xf numFmtId="4" fontId="54" fillId="4" borderId="15" xfId="0" applyNumberFormat="1" applyFont="1" applyFill="1" applyBorder="1" applyAlignment="1">
      <alignment horizontal="left" wrapText="1"/>
    </xf>
    <xf numFmtId="0" fontId="54" fillId="4" borderId="15" xfId="0" applyFont="1" applyFill="1" applyBorder="1" applyAlignment="1">
      <alignment horizontal="center"/>
    </xf>
    <xf numFmtId="0" fontId="54" fillId="4" borderId="15" xfId="0" applyFont="1" applyFill="1" applyBorder="1" applyAlignment="1">
      <alignment horizontal="left" wrapText="1"/>
    </xf>
    <xf numFmtId="0" fontId="55" fillId="4" borderId="15" xfId="0" applyFont="1" applyFill="1" applyBorder="1" applyAlignment="1">
      <alignment horizontal="left" wrapText="1"/>
    </xf>
    <xf numFmtId="0" fontId="52" fillId="4" borderId="15" xfId="0" applyFont="1" applyFill="1" applyBorder="1" applyAlignment="1">
      <alignment horizontal="center"/>
    </xf>
    <xf numFmtId="165" fontId="52" fillId="4" borderId="15" xfId="0" applyNumberFormat="1" applyFont="1" applyFill="1" applyBorder="1" applyAlignment="1">
      <alignment horizontal="center"/>
    </xf>
    <xf numFmtId="4" fontId="52" fillId="4" borderId="15" xfId="0" applyNumberFormat="1" applyFont="1" applyFill="1" applyBorder="1" applyAlignment="1">
      <alignment horizontal="center"/>
    </xf>
    <xf numFmtId="0" fontId="52" fillId="4" borderId="0" xfId="0" applyFont="1" applyFill="1" applyAlignment="1"/>
    <xf numFmtId="0" fontId="36" fillId="4" borderId="15" xfId="0" applyFont="1" applyFill="1" applyBorder="1" applyAlignment="1">
      <alignment horizontal="left" wrapText="1"/>
    </xf>
    <xf numFmtId="4" fontId="35" fillId="4" borderId="15" xfId="0" applyNumberFormat="1" applyFont="1" applyFill="1" applyBorder="1" applyAlignment="1">
      <alignment horizontal="center"/>
    </xf>
    <xf numFmtId="3" fontId="35" fillId="4" borderId="15" xfId="0" applyNumberFormat="1" applyFont="1" applyFill="1" applyBorder="1" applyAlignment="1">
      <alignment horizontal="center"/>
    </xf>
    <xf numFmtId="165" fontId="35" fillId="4" borderId="15" xfId="0" applyNumberFormat="1" applyFont="1" applyFill="1" applyBorder="1" applyAlignment="1">
      <alignment horizontal="center"/>
    </xf>
    <xf numFmtId="43" fontId="34" fillId="4" borderId="15" xfId="31" applyFont="1" applyFill="1" applyBorder="1" applyAlignment="1"/>
    <xf numFmtId="0" fontId="35" fillId="4" borderId="15" xfId="0" applyFont="1" applyFill="1" applyBorder="1" applyAlignment="1">
      <alignment horizontal="left" wrapText="1"/>
    </xf>
    <xf numFmtId="0" fontId="34" fillId="4" borderId="15" xfId="0" applyFont="1" applyFill="1" applyBorder="1" applyAlignment="1">
      <alignment horizontal="left" wrapText="1"/>
    </xf>
    <xf numFmtId="4" fontId="34" fillId="4" borderId="15" xfId="0" applyNumberFormat="1" applyFont="1" applyFill="1" applyBorder="1" applyAlignment="1">
      <alignment horizontal="center"/>
    </xf>
    <xf numFmtId="3" fontId="34" fillId="4" borderId="15" xfId="0" applyNumberFormat="1" applyFont="1" applyFill="1" applyBorder="1" applyAlignment="1">
      <alignment horizontal="center"/>
    </xf>
    <xf numFmtId="165" fontId="34" fillId="4" borderId="15" xfId="0" applyNumberFormat="1" applyFont="1" applyFill="1" applyBorder="1" applyAlignment="1">
      <alignment horizontal="center"/>
    </xf>
    <xf numFmtId="0" fontId="34" fillId="4" borderId="0" xfId="0" applyFont="1" applyFill="1"/>
    <xf numFmtId="0" fontId="35" fillId="4" borderId="15" xfId="0" applyFont="1" applyFill="1" applyBorder="1" applyAlignment="1">
      <alignment wrapText="1"/>
    </xf>
    <xf numFmtId="0" fontId="34" fillId="4" borderId="15" xfId="0" applyFont="1" applyFill="1" applyBorder="1" applyAlignment="1">
      <alignment wrapText="1"/>
    </xf>
    <xf numFmtId="0" fontId="35" fillId="4" borderId="15" xfId="0" applyFont="1" applyFill="1" applyBorder="1"/>
    <xf numFmtId="43" fontId="35" fillId="4" borderId="15" xfId="31" applyFont="1" applyFill="1" applyBorder="1"/>
    <xf numFmtId="0" fontId="34" fillId="4" borderId="15" xfId="0" applyFont="1" applyFill="1" applyBorder="1"/>
    <xf numFmtId="43" fontId="34" fillId="4" borderId="15" xfId="31" applyFont="1" applyFill="1" applyBorder="1"/>
    <xf numFmtId="0" fontId="44" fillId="4" borderId="12" xfId="0" applyFont="1" applyFill="1" applyBorder="1" applyAlignment="1">
      <alignment vertical="top" wrapText="1"/>
    </xf>
    <xf numFmtId="0" fontId="45" fillId="4" borderId="12" xfId="0" applyFont="1" applyFill="1" applyBorder="1" applyAlignment="1">
      <alignment vertical="top" wrapText="1"/>
    </xf>
    <xf numFmtId="43" fontId="45" fillId="4" borderId="12" xfId="31" applyFont="1" applyFill="1" applyBorder="1" applyAlignment="1">
      <alignment vertical="top" wrapText="1"/>
    </xf>
    <xf numFmtId="0" fontId="0" fillId="0" borderId="12" xfId="0" applyFont="1" applyFill="1" applyBorder="1" applyAlignment="1">
      <alignment horizontal="center" vertical="center"/>
    </xf>
    <xf numFmtId="0" fontId="36" fillId="0" borderId="12" xfId="0" applyFont="1" applyFill="1" applyBorder="1" applyAlignment="1">
      <alignment horizontal="left" wrapText="1"/>
    </xf>
    <xf numFmtId="0" fontId="0" fillId="0" borderId="12" xfId="0" applyFont="1" applyFill="1" applyBorder="1" applyAlignment="1"/>
    <xf numFmtId="0" fontId="35" fillId="0" borderId="12" xfId="0" applyFont="1" applyBorder="1" applyAlignment="1">
      <alignment horizontal="center" vertical="center"/>
    </xf>
    <xf numFmtId="0" fontId="34" fillId="0" borderId="12" xfId="0" applyFont="1" applyBorder="1" applyAlignment="1">
      <alignment horizontal="center" vertical="center" wrapText="1"/>
    </xf>
    <xf numFmtId="43" fontId="34" fillId="0" borderId="12" xfId="33" applyFont="1" applyBorder="1" applyAlignment="1">
      <alignment horizontal="right" vertical="center"/>
    </xf>
    <xf numFmtId="3" fontId="34" fillId="0" borderId="12" xfId="0" applyNumberFormat="1" applyFont="1" applyBorder="1" applyAlignment="1">
      <alignment horizontal="center" vertical="center"/>
    </xf>
    <xf numFmtId="0" fontId="34" fillId="0" borderId="12" xfId="0" applyFont="1" applyBorder="1" applyAlignment="1">
      <alignment horizontal="center" vertical="center"/>
    </xf>
    <xf numFmtId="0" fontId="30" fillId="0" borderId="12" xfId="0" applyFont="1" applyFill="1" applyBorder="1" applyAlignment="1">
      <alignment horizontal="center"/>
    </xf>
    <xf numFmtId="0" fontId="30" fillId="0" borderId="12" xfId="0" applyFont="1" applyFill="1" applyBorder="1" applyAlignment="1">
      <alignment horizontal="left" wrapText="1"/>
    </xf>
    <xf numFmtId="3" fontId="30" fillId="0" borderId="12" xfId="0" applyNumberFormat="1" applyFont="1" applyFill="1" applyBorder="1" applyAlignment="1">
      <alignment horizontal="center"/>
    </xf>
    <xf numFmtId="4" fontId="30" fillId="0" borderId="12" xfId="0" applyNumberFormat="1" applyFont="1" applyFill="1" applyBorder="1" applyAlignment="1">
      <alignment horizontal="center"/>
    </xf>
    <xf numFmtId="43" fontId="30" fillId="0" borderId="12" xfId="31" applyFont="1" applyFill="1" applyBorder="1" applyAlignment="1"/>
    <xf numFmtId="0" fontId="28" fillId="0" borderId="12" xfId="0" applyFont="1" applyFill="1" applyBorder="1" applyAlignment="1">
      <alignment horizontal="left" wrapText="1"/>
    </xf>
    <xf numFmtId="2" fontId="30" fillId="0" borderId="12" xfId="0" applyNumberFormat="1" applyFont="1" applyFill="1" applyBorder="1" applyAlignment="1">
      <alignment horizontal="center"/>
    </xf>
    <xf numFmtId="2" fontId="28" fillId="0" borderId="12" xfId="0" applyNumberFormat="1" applyFont="1" applyFill="1" applyBorder="1" applyAlignment="1">
      <alignment horizontal="center"/>
    </xf>
    <xf numFmtId="4" fontId="28" fillId="0" borderId="12" xfId="0" applyNumberFormat="1" applyFont="1" applyFill="1" applyBorder="1" applyAlignment="1">
      <alignment horizontal="center"/>
    </xf>
    <xf numFmtId="3" fontId="28" fillId="0" borderId="12" xfId="0" applyNumberFormat="1" applyFont="1" applyFill="1" applyBorder="1" applyAlignment="1">
      <alignment horizontal="center"/>
    </xf>
    <xf numFmtId="43" fontId="28" fillId="0" borderId="12" xfId="31" applyFont="1" applyFill="1" applyBorder="1" applyAlignment="1"/>
    <xf numFmtId="0" fontId="27" fillId="4" borderId="12" xfId="0" applyFont="1" applyFill="1" applyBorder="1" applyAlignment="1">
      <alignment horizontal="center" vertical="center" wrapText="1"/>
    </xf>
    <xf numFmtId="3" fontId="28" fillId="4" borderId="12" xfId="0" applyNumberFormat="1" applyFont="1" applyFill="1" applyBorder="1" applyAlignment="1">
      <alignment horizontal="center" vertical="center" wrapText="1"/>
    </xf>
    <xf numFmtId="2" fontId="39" fillId="0" borderId="12" xfId="0" applyNumberFormat="1" applyFont="1" applyBorder="1"/>
    <xf numFmtId="167" fontId="28" fillId="0" borderId="12" xfId="0" applyNumberFormat="1" applyFont="1" applyFill="1" applyBorder="1" applyAlignment="1">
      <alignment horizontal="center"/>
    </xf>
    <xf numFmtId="4" fontId="28" fillId="0" borderId="12" xfId="0" applyNumberFormat="1" applyFont="1" applyFill="1" applyBorder="1" applyAlignment="1">
      <alignment horizontal="left" wrapText="1"/>
    </xf>
    <xf numFmtId="0" fontId="28" fillId="0" borderId="12" xfId="0" applyFont="1" applyFill="1" applyBorder="1" applyAlignment="1">
      <alignment horizontal="center"/>
    </xf>
    <xf numFmtId="4" fontId="30" fillId="0" borderId="12" xfId="0" applyNumberFormat="1" applyFont="1" applyFill="1" applyBorder="1" applyAlignment="1">
      <alignment horizontal="left" wrapText="1"/>
    </xf>
    <xf numFmtId="0" fontId="34" fillId="4" borderId="12" xfId="0" applyFont="1" applyFill="1" applyBorder="1" applyAlignment="1">
      <alignment horizontal="center" vertical="center" wrapText="1"/>
    </xf>
    <xf numFmtId="0" fontId="35" fillId="4" borderId="12" xfId="0" applyFont="1" applyFill="1" applyBorder="1" applyAlignment="1">
      <alignment horizontal="center"/>
    </xf>
    <xf numFmtId="0" fontId="35" fillId="4" borderId="12" xfId="0" applyFont="1" applyFill="1" applyBorder="1"/>
    <xf numFmtId="0" fontId="34" fillId="3" borderId="12" xfId="0" applyFont="1" applyFill="1" applyBorder="1" applyAlignment="1">
      <alignment horizontal="center" vertical="center" wrapText="1"/>
    </xf>
    <xf numFmtId="3" fontId="34" fillId="3" borderId="12" xfId="0" applyNumberFormat="1" applyFont="1" applyFill="1" applyBorder="1" applyAlignment="1">
      <alignment horizontal="center" vertical="center" wrapText="1"/>
    </xf>
    <xf numFmtId="0" fontId="36" fillId="0" borderId="12" xfId="0" applyFont="1" applyFill="1" applyBorder="1" applyAlignment="1">
      <alignment horizontal="center" vertical="center"/>
    </xf>
    <xf numFmtId="3" fontId="35" fillId="0" borderId="12" xfId="0" applyNumberFormat="1" applyFont="1" applyFill="1" applyBorder="1" applyAlignment="1">
      <alignment horizontal="center" vertical="center"/>
    </xf>
    <xf numFmtId="0" fontId="36" fillId="0" borderId="12" xfId="0" applyFont="1" applyFill="1" applyBorder="1" applyAlignment="1">
      <alignment horizontal="left" vertical="center" wrapText="1"/>
    </xf>
    <xf numFmtId="0" fontId="35" fillId="0" borderId="12" xfId="0" applyFont="1" applyFill="1" applyBorder="1" applyAlignment="1">
      <alignment horizontal="center"/>
    </xf>
    <xf numFmtId="4" fontId="35" fillId="0" borderId="12" xfId="0" applyNumberFormat="1" applyFont="1" applyFill="1" applyBorder="1" applyAlignment="1">
      <alignment horizontal="center"/>
    </xf>
    <xf numFmtId="3" fontId="35" fillId="0" borderId="12" xfId="0" applyNumberFormat="1" applyFont="1" applyFill="1" applyBorder="1" applyAlignment="1">
      <alignment horizontal="center"/>
    </xf>
    <xf numFmtId="43" fontId="35" fillId="0" borderId="12" xfId="4" applyFont="1" applyFill="1" applyBorder="1" applyAlignment="1"/>
    <xf numFmtId="43" fontId="35" fillId="0" borderId="12" xfId="4" applyFont="1" applyFill="1" applyBorder="1" applyAlignment="1">
      <alignment horizontal="right"/>
    </xf>
    <xf numFmtId="0" fontId="35" fillId="0" borderId="12" xfId="0" applyFont="1" applyFill="1" applyBorder="1" applyAlignment="1">
      <alignment horizontal="left" wrapText="1"/>
    </xf>
    <xf numFmtId="0" fontId="34" fillId="0" borderId="12" xfId="0" applyFont="1" applyFill="1" applyBorder="1" applyAlignment="1">
      <alignment horizontal="left" wrapText="1"/>
    </xf>
    <xf numFmtId="3" fontId="34" fillId="0" borderId="12" xfId="0" applyNumberFormat="1" applyFont="1" applyFill="1" applyBorder="1" applyAlignment="1">
      <alignment horizontal="center"/>
    </xf>
    <xf numFmtId="2" fontId="35" fillId="0" borderId="12" xfId="0" applyNumberFormat="1" applyFont="1" applyFill="1" applyBorder="1" applyAlignment="1">
      <alignment horizontal="center"/>
    </xf>
    <xf numFmtId="0" fontId="26" fillId="2" borderId="12" xfId="0" applyFont="1" applyFill="1" applyBorder="1" applyAlignment="1">
      <alignment horizontal="center" vertical="center"/>
    </xf>
    <xf numFmtId="0" fontId="26" fillId="2" borderId="12" xfId="0" applyFont="1" applyFill="1" applyBorder="1" applyAlignment="1">
      <alignment horizontal="center" vertical="center" wrapText="1"/>
    </xf>
    <xf numFmtId="3" fontId="34" fillId="2" borderId="12" xfId="0" applyNumberFormat="1" applyFont="1" applyFill="1" applyBorder="1" applyAlignment="1">
      <alignment horizontal="center" vertical="center"/>
    </xf>
    <xf numFmtId="3" fontId="34" fillId="2" borderId="12" xfId="34" applyNumberFormat="1" applyFont="1" applyFill="1" applyBorder="1" applyAlignment="1">
      <alignment horizontal="center" vertical="center"/>
    </xf>
    <xf numFmtId="0" fontId="0" fillId="0" borderId="0" xfId="0" applyFont="1" applyFill="1" applyAlignment="1">
      <alignment vertical="center"/>
    </xf>
    <xf numFmtId="4" fontId="35" fillId="0" borderId="12" xfId="0" applyNumberFormat="1" applyFont="1" applyFill="1" applyBorder="1" applyAlignment="1">
      <alignment horizontal="center" vertical="center"/>
    </xf>
    <xf numFmtId="0" fontId="0" fillId="0" borderId="0" xfId="0" applyFont="1" applyFill="1" applyBorder="1" applyAlignment="1"/>
    <xf numFmtId="3" fontId="0" fillId="0" borderId="12" xfId="0" applyNumberFormat="1" applyFont="1" applyFill="1" applyBorder="1" applyAlignment="1">
      <alignment horizontal="center" vertical="center"/>
    </xf>
    <xf numFmtId="0" fontId="0" fillId="0" borderId="12" xfId="0" applyFont="1" applyFill="1" applyBorder="1" applyAlignment="1">
      <alignment horizontal="right" vertical="center"/>
    </xf>
    <xf numFmtId="0" fontId="36" fillId="0" borderId="12" xfId="16" applyFont="1" applyFill="1" applyBorder="1" applyAlignment="1">
      <alignment vertical="center" wrapText="1"/>
    </xf>
    <xf numFmtId="0" fontId="35" fillId="0" borderId="12" xfId="27" applyFont="1" applyFill="1" applyBorder="1" applyAlignment="1">
      <alignment horizontal="left" vertical="center" wrapText="1"/>
    </xf>
    <xf numFmtId="4" fontId="56" fillId="0" borderId="12" xfId="0" applyNumberFormat="1" applyFont="1" applyFill="1" applyBorder="1" applyAlignment="1">
      <alignment horizontal="right" vertical="center"/>
    </xf>
    <xf numFmtId="0" fontId="26" fillId="0" borderId="12" xfId="0" applyFont="1" applyFill="1" applyBorder="1" applyAlignment="1">
      <alignment horizontal="center" vertical="center"/>
    </xf>
    <xf numFmtId="0" fontId="57" fillId="0" borderId="12" xfId="0" applyFont="1" applyFill="1" applyBorder="1" applyAlignment="1">
      <alignment horizontal="left" vertical="center" wrapText="1"/>
    </xf>
    <xf numFmtId="3" fontId="26" fillId="0" borderId="12" xfId="0" applyNumberFormat="1" applyFont="1" applyFill="1" applyBorder="1" applyAlignment="1">
      <alignment horizontal="center" vertical="center"/>
    </xf>
    <xf numFmtId="4" fontId="58" fillId="0" borderId="12" xfId="0" applyNumberFormat="1" applyFont="1" applyFill="1" applyBorder="1" applyAlignment="1">
      <alignment horizontal="right" vertical="center"/>
    </xf>
    <xf numFmtId="0" fontId="26" fillId="0" borderId="0" xfId="0" applyFont="1" applyFill="1" applyAlignment="1">
      <alignment vertical="center"/>
    </xf>
    <xf numFmtId="0" fontId="26" fillId="0" borderId="12" xfId="0" applyFont="1" applyFill="1" applyBorder="1" applyAlignment="1">
      <alignment vertical="center" wrapText="1"/>
    </xf>
    <xf numFmtId="0" fontId="0" fillId="0" borderId="12" xfId="0" applyFont="1" applyFill="1" applyBorder="1" applyAlignment="1">
      <alignment vertical="center" wrapText="1"/>
    </xf>
    <xf numFmtId="0" fontId="34" fillId="0" borderId="12" xfId="27" applyFont="1" applyFill="1" applyBorder="1" applyAlignment="1">
      <alignment horizontal="left" vertical="center" wrapText="1"/>
    </xf>
    <xf numFmtId="0" fontId="56" fillId="0" borderId="12" xfId="16" applyFont="1" applyFill="1" applyBorder="1" applyAlignment="1">
      <alignment horizontal="left" vertical="center" wrapText="1"/>
    </xf>
    <xf numFmtId="0" fontId="36" fillId="0" borderId="12" xfId="16" applyFont="1" applyFill="1" applyBorder="1" applyAlignment="1">
      <alignment horizontal="center" vertical="center" wrapText="1"/>
    </xf>
    <xf numFmtId="0" fontId="35" fillId="0" borderId="12" xfId="16" applyFont="1" applyFill="1" applyBorder="1" applyAlignment="1">
      <alignment horizontal="left" vertical="center" wrapText="1"/>
    </xf>
    <xf numFmtId="0" fontId="36" fillId="0" borderId="12" xfId="16" applyFont="1" applyFill="1" applyBorder="1" applyAlignment="1">
      <alignment horizontal="left" vertical="center" wrapText="1"/>
    </xf>
    <xf numFmtId="0" fontId="37" fillId="0" borderId="12" xfId="27" applyFont="1" applyFill="1" applyBorder="1" applyAlignment="1">
      <alignment horizontal="left" vertical="center" wrapText="1"/>
    </xf>
    <xf numFmtId="0" fontId="37" fillId="0" borderId="12" xfId="0" applyFont="1" applyFill="1" applyBorder="1" applyAlignment="1">
      <alignment horizontal="left" vertical="center" wrapText="1"/>
    </xf>
    <xf numFmtId="0" fontId="37" fillId="0" borderId="12" xfId="16" applyFont="1" applyFill="1" applyBorder="1" applyAlignment="1">
      <alignment horizontal="left" vertical="center" wrapText="1"/>
    </xf>
    <xf numFmtId="2" fontId="0" fillId="0" borderId="12"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60" fillId="0" borderId="12" xfId="0" applyFont="1" applyFill="1" applyBorder="1" applyAlignment="1">
      <alignment vertical="center" wrapText="1"/>
    </xf>
    <xf numFmtId="0" fontId="61" fillId="0" borderId="12" xfId="0" applyFont="1" applyFill="1" applyBorder="1" applyAlignment="1">
      <alignment vertical="center" wrapText="1"/>
    </xf>
    <xf numFmtId="2" fontId="26" fillId="0" borderId="12" xfId="0" applyNumberFormat="1" applyFont="1" applyFill="1" applyBorder="1" applyAlignment="1">
      <alignment horizontal="center" vertical="center"/>
    </xf>
    <xf numFmtId="0" fontId="0" fillId="0" borderId="0" xfId="0" applyFont="1" applyFill="1" applyBorder="1" applyAlignment="1">
      <alignment vertical="center"/>
    </xf>
    <xf numFmtId="0" fontId="35" fillId="0" borderId="12" xfId="0" applyFont="1" applyFill="1" applyBorder="1" applyAlignment="1">
      <alignment horizontal="left" vertical="center" wrapText="1"/>
    </xf>
    <xf numFmtId="165" fontId="26" fillId="0" borderId="12" xfId="0" applyNumberFormat="1" applyFont="1" applyFill="1" applyBorder="1" applyAlignment="1">
      <alignment horizontal="center" vertical="center"/>
    </xf>
    <xf numFmtId="0" fontId="26" fillId="0" borderId="0" xfId="0" applyFont="1" applyFill="1" applyBorder="1" applyAlignment="1">
      <alignment vertical="center"/>
    </xf>
    <xf numFmtId="165" fontId="0" fillId="0" borderId="12" xfId="0" applyNumberFormat="1" applyFont="1" applyFill="1" applyBorder="1" applyAlignment="1">
      <alignment horizontal="center" vertical="center"/>
    </xf>
    <xf numFmtId="2" fontId="56" fillId="0" borderId="12" xfId="0" applyNumberFormat="1" applyFont="1" applyFill="1" applyBorder="1" applyAlignment="1">
      <alignment horizontal="center" vertical="center"/>
    </xf>
    <xf numFmtId="1" fontId="56" fillId="0" borderId="12" xfId="0" applyNumberFormat="1" applyFont="1" applyFill="1" applyBorder="1" applyAlignment="1">
      <alignment horizontal="center" vertical="center"/>
    </xf>
    <xf numFmtId="0" fontId="56" fillId="0" borderId="12" xfId="0" applyFont="1" applyFill="1" applyBorder="1" applyAlignment="1">
      <alignment horizontal="center" vertical="center"/>
    </xf>
    <xf numFmtId="43" fontId="56" fillId="0" borderId="12" xfId="33" applyFont="1" applyFill="1" applyBorder="1" applyAlignment="1">
      <alignment horizontal="right" vertical="center"/>
    </xf>
    <xf numFmtId="0" fontId="56" fillId="0" borderId="12"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59" fillId="0" borderId="12" xfId="0" applyFont="1" applyFill="1" applyBorder="1" applyAlignment="1">
      <alignment horizontal="left" vertical="center" wrapText="1"/>
    </xf>
    <xf numFmtId="2" fontId="56" fillId="0" borderId="12" xfId="16" applyNumberFormat="1" applyFont="1" applyFill="1" applyBorder="1" applyAlignment="1">
      <alignment horizontal="center" vertical="center"/>
    </xf>
    <xf numFmtId="0" fontId="60" fillId="0" borderId="12" xfId="16" applyFont="1" applyFill="1" applyBorder="1" applyAlignment="1">
      <alignment horizontal="left" vertical="center" wrapText="1"/>
    </xf>
    <xf numFmtId="0" fontId="56" fillId="0" borderId="12" xfId="16" applyFont="1" applyFill="1" applyBorder="1" applyAlignment="1">
      <alignment horizontal="center" vertical="center"/>
    </xf>
    <xf numFmtId="0" fontId="59" fillId="0" borderId="12" xfId="16" applyFont="1" applyFill="1" applyBorder="1" applyAlignment="1">
      <alignment horizontal="left" vertical="center" wrapText="1"/>
    </xf>
    <xf numFmtId="0" fontId="35" fillId="0" borderId="12" xfId="16" applyFont="1" applyFill="1" applyBorder="1" applyAlignment="1">
      <alignment vertical="center" wrapText="1"/>
    </xf>
    <xf numFmtId="0" fontId="62" fillId="0" borderId="12" xfId="0" applyFont="1" applyFill="1" applyBorder="1" applyAlignment="1">
      <alignment horizontal="left" vertical="center" wrapText="1"/>
    </xf>
    <xf numFmtId="0" fontId="35" fillId="0" borderId="12" xfId="16" applyFont="1" applyFill="1" applyBorder="1" applyAlignment="1">
      <alignment horizontal="center" vertical="center"/>
    </xf>
    <xf numFmtId="0" fontId="58" fillId="0" borderId="12" xfId="0" applyFont="1" applyFill="1" applyBorder="1" applyAlignment="1">
      <alignment vertical="center" wrapText="1"/>
    </xf>
    <xf numFmtId="0" fontId="59" fillId="0" borderId="12" xfId="0" applyFont="1" applyFill="1" applyBorder="1" applyAlignment="1">
      <alignment horizontal="center" vertical="center"/>
    </xf>
    <xf numFmtId="0" fontId="59" fillId="0" borderId="12" xfId="0" applyFont="1" applyFill="1" applyBorder="1" applyAlignment="1">
      <alignment vertical="center"/>
    </xf>
    <xf numFmtId="3" fontId="56" fillId="0" borderId="12" xfId="0" applyNumberFormat="1" applyFont="1" applyFill="1" applyBorder="1" applyAlignment="1">
      <alignment horizontal="right" vertical="center"/>
    </xf>
    <xf numFmtId="4" fontId="56" fillId="0" borderId="0" xfId="0" applyNumberFormat="1" applyFont="1" applyFill="1" applyBorder="1" applyAlignment="1">
      <alignment horizontal="center" vertical="center"/>
    </xf>
    <xf numFmtId="43" fontId="56" fillId="0" borderId="0" xfId="4" applyFont="1" applyFill="1" applyBorder="1" applyAlignment="1">
      <alignment horizontal="right" vertical="center"/>
    </xf>
    <xf numFmtId="0" fontId="56" fillId="0" borderId="12" xfId="0" applyFont="1" applyFill="1" applyBorder="1" applyAlignment="1">
      <alignment vertical="center"/>
    </xf>
    <xf numFmtId="3" fontId="59" fillId="0" borderId="12" xfId="0" applyNumberFormat="1" applyFont="1" applyFill="1" applyBorder="1" applyAlignment="1">
      <alignment horizontal="center" vertical="center"/>
    </xf>
    <xf numFmtId="4" fontId="56" fillId="0" borderId="12" xfId="0" applyNumberFormat="1" applyFont="1" applyFill="1" applyBorder="1" applyAlignment="1">
      <alignment horizontal="center" vertical="center"/>
    </xf>
    <xf numFmtId="43" fontId="59" fillId="0" borderId="12" xfId="4" applyFont="1" applyFill="1" applyBorder="1" applyAlignment="1">
      <alignment horizontal="right" vertical="center"/>
    </xf>
    <xf numFmtId="0" fontId="59" fillId="0" borderId="12" xfId="0" applyFont="1" applyFill="1" applyBorder="1" applyAlignment="1">
      <alignment horizontal="center" vertical="center" wrapText="1"/>
    </xf>
    <xf numFmtId="3" fontId="56" fillId="0" borderId="12" xfId="0" applyNumberFormat="1" applyFont="1" applyFill="1" applyBorder="1" applyAlignment="1">
      <alignment horizontal="center" vertical="center"/>
    </xf>
    <xf numFmtId="43" fontId="56" fillId="0" borderId="12" xfId="4" applyFont="1" applyFill="1" applyBorder="1" applyAlignment="1">
      <alignment horizontal="right" vertical="center"/>
    </xf>
    <xf numFmtId="0" fontId="56" fillId="0" borderId="12" xfId="0" applyFont="1" applyFill="1" applyBorder="1" applyAlignment="1">
      <alignment horizontal="center" vertical="center" wrapText="1"/>
    </xf>
    <xf numFmtId="3" fontId="56" fillId="0" borderId="12" xfId="13" quotePrefix="1" applyNumberFormat="1" applyFont="1" applyFill="1" applyBorder="1" applyAlignment="1">
      <alignment horizontal="center" vertical="center"/>
    </xf>
    <xf numFmtId="4" fontId="60" fillId="0" borderId="12" xfId="0" applyNumberFormat="1" applyFont="1" applyFill="1" applyBorder="1" applyAlignment="1">
      <alignment horizontal="center" vertical="center"/>
    </xf>
    <xf numFmtId="0" fontId="0" fillId="0" borderId="12" xfId="0" applyFont="1" applyFill="1" applyBorder="1" applyAlignment="1">
      <alignment vertical="center"/>
    </xf>
    <xf numFmtId="0" fontId="26" fillId="0" borderId="12" xfId="0" applyFont="1" applyFill="1" applyBorder="1" applyAlignment="1">
      <alignment horizontal="center" vertical="center" wrapText="1"/>
    </xf>
    <xf numFmtId="0" fontId="0" fillId="0" borderId="0" xfId="0" applyFont="1"/>
    <xf numFmtId="0" fontId="0" fillId="0" borderId="0" xfId="0" applyFont="1" applyAlignment="1">
      <alignment wrapText="1"/>
    </xf>
    <xf numFmtId="0" fontId="36" fillId="0" borderId="12" xfId="0" applyFont="1" applyFill="1" applyBorder="1" applyAlignment="1">
      <alignment horizontal="left"/>
    </xf>
    <xf numFmtId="0" fontId="0" fillId="0" borderId="0" xfId="0" applyFont="1" applyFill="1" applyBorder="1"/>
    <xf numFmtId="0" fontId="35" fillId="0" borderId="12" xfId="0" applyFont="1" applyFill="1" applyBorder="1" applyAlignment="1">
      <alignment horizontal="center" vertical="center"/>
    </xf>
    <xf numFmtId="0" fontId="36" fillId="0" borderId="12" xfId="0" applyNumberFormat="1" applyFont="1" applyFill="1" applyBorder="1" applyAlignment="1">
      <alignment horizontal="left"/>
    </xf>
    <xf numFmtId="0" fontId="0" fillId="0" borderId="12" xfId="0" applyFont="1" applyBorder="1" applyAlignment="1">
      <alignment horizontal="center" vertical="center"/>
    </xf>
    <xf numFmtId="0" fontId="36" fillId="0" borderId="12" xfId="35" applyFont="1" applyBorder="1" applyAlignment="1">
      <alignment horizontal="left"/>
    </xf>
    <xf numFmtId="3" fontId="36" fillId="0" borderId="12" xfId="35" applyNumberFormat="1" applyFont="1" applyBorder="1" applyAlignment="1">
      <alignment horizontal="center" vertical="center"/>
    </xf>
    <xf numFmtId="1" fontId="35" fillId="0" borderId="12" xfId="0" applyNumberFormat="1" applyFont="1" applyBorder="1" applyAlignment="1">
      <alignment horizontal="center" vertical="center"/>
    </xf>
    <xf numFmtId="0" fontId="0" fillId="0" borderId="0" xfId="0" applyFont="1" applyAlignment="1"/>
    <xf numFmtId="3" fontId="0" fillId="0" borderId="12" xfId="0" applyNumberFormat="1" applyFont="1" applyBorder="1" applyAlignment="1">
      <alignment horizontal="center" vertical="center"/>
    </xf>
    <xf numFmtId="0" fontId="35" fillId="0" borderId="12" xfId="36" applyFont="1" applyBorder="1" applyAlignment="1"/>
    <xf numFmtId="0" fontId="35" fillId="0" borderId="12" xfId="35" applyFont="1" applyBorder="1" applyAlignment="1"/>
    <xf numFmtId="167" fontId="35" fillId="0" borderId="12" xfId="0" applyNumberFormat="1" applyFont="1" applyBorder="1" applyAlignment="1">
      <alignment horizontal="center" vertical="center"/>
    </xf>
    <xf numFmtId="0" fontId="35" fillId="0" borderId="12" xfId="37" applyFont="1" applyBorder="1" applyAlignment="1"/>
    <xf numFmtId="4" fontId="36" fillId="0" borderId="12" xfId="0" applyNumberFormat="1" applyFont="1" applyFill="1" applyBorder="1" applyAlignment="1">
      <alignment horizontal="left"/>
    </xf>
    <xf numFmtId="0" fontId="0" fillId="0" borderId="12" xfId="0" applyBorder="1"/>
    <xf numFmtId="0" fontId="0" fillId="0" borderId="12" xfId="0" applyFill="1" applyBorder="1"/>
    <xf numFmtId="43" fontId="0" fillId="0" borderId="12" xfId="31" applyFont="1" applyBorder="1"/>
    <xf numFmtId="4" fontId="34" fillId="3" borderId="12" xfId="0" applyNumberFormat="1" applyFont="1" applyFill="1" applyBorder="1" applyAlignment="1">
      <alignment horizontal="center" vertical="center" wrapText="1"/>
    </xf>
    <xf numFmtId="43" fontId="34" fillId="3" borderId="12" xfId="31" applyFont="1" applyFill="1" applyBorder="1" applyAlignment="1">
      <alignment horizontal="center" vertical="center" wrapText="1"/>
    </xf>
    <xf numFmtId="0" fontId="15" fillId="0" borderId="12" xfId="0" applyFont="1" applyFill="1" applyBorder="1" applyAlignment="1">
      <alignment horizontal="center"/>
    </xf>
    <xf numFmtId="0" fontId="16" fillId="0" borderId="12" xfId="0" applyFont="1" applyFill="1" applyBorder="1" applyAlignment="1">
      <alignment horizontal="left" wrapText="1"/>
    </xf>
    <xf numFmtId="0" fontId="15" fillId="0" borderId="12" xfId="0" applyFont="1" applyFill="1" applyBorder="1" applyAlignment="1"/>
    <xf numFmtId="43" fontId="15" fillId="0" borderId="12" xfId="31" applyFont="1" applyFill="1" applyBorder="1" applyAlignment="1">
      <alignment horizontal="center"/>
    </xf>
    <xf numFmtId="0" fontId="35" fillId="0" borderId="12" xfId="0" applyFont="1" applyFill="1" applyBorder="1" applyAlignment="1">
      <alignment horizontal="center" vertical="center" wrapText="1"/>
    </xf>
    <xf numFmtId="43" fontId="35" fillId="0" borderId="12" xfId="31" applyFont="1" applyFill="1" applyBorder="1" applyAlignment="1">
      <alignment horizontal="center" vertical="center"/>
    </xf>
    <xf numFmtId="0" fontId="31" fillId="0" borderId="12" xfId="0" applyFont="1" applyFill="1" applyBorder="1" applyAlignment="1">
      <alignment horizontal="left" wrapText="1"/>
    </xf>
    <xf numFmtId="165" fontId="30" fillId="0" borderId="12" xfId="0" applyNumberFormat="1" applyFont="1" applyFill="1" applyBorder="1" applyAlignment="1">
      <alignment horizontal="center"/>
    </xf>
    <xf numFmtId="0" fontId="32" fillId="0" borderId="12" xfId="0" applyFont="1" applyFill="1" applyBorder="1" applyAlignment="1">
      <alignment horizontal="left" wrapText="1"/>
    </xf>
    <xf numFmtId="165" fontId="28" fillId="0" borderId="12" xfId="0" applyNumberFormat="1" applyFont="1" applyFill="1" applyBorder="1" applyAlignment="1">
      <alignment horizontal="center"/>
    </xf>
    <xf numFmtId="3" fontId="34" fillId="4" borderId="12" xfId="0" applyNumberFormat="1" applyFont="1" applyFill="1" applyBorder="1" applyAlignment="1">
      <alignment horizontal="center" vertical="center" wrapText="1"/>
    </xf>
    <xf numFmtId="4" fontId="34" fillId="4" borderId="12" xfId="0" applyNumberFormat="1" applyFont="1" applyFill="1" applyBorder="1" applyAlignment="1">
      <alignment horizontal="center" vertical="center" wrapText="1"/>
    </xf>
    <xf numFmtId="0" fontId="32" fillId="0" borderId="12" xfId="27" applyFont="1" applyFill="1" applyBorder="1" applyAlignment="1">
      <alignment horizontal="left" wrapText="1"/>
    </xf>
    <xf numFmtId="43" fontId="29" fillId="0" borderId="12" xfId="31" applyFont="1" applyFill="1" applyBorder="1" applyAlignment="1"/>
    <xf numFmtId="3" fontId="30" fillId="0" borderId="12" xfId="4" applyNumberFormat="1" applyFont="1" applyFill="1" applyBorder="1" applyAlignment="1"/>
    <xf numFmtId="165" fontId="30" fillId="0" borderId="12" xfId="4" applyNumberFormat="1" applyFont="1" applyFill="1" applyBorder="1" applyAlignment="1"/>
    <xf numFmtId="0" fontId="28" fillId="0" borderId="12" xfId="19" applyFont="1" applyFill="1" applyBorder="1" applyAlignment="1">
      <alignment horizontal="center" wrapText="1"/>
    </xf>
    <xf numFmtId="0" fontId="33" fillId="0" borderId="12" xfId="0" applyFont="1" applyFill="1" applyBorder="1" applyAlignment="1">
      <alignment horizontal="center" vertical="center" wrapText="1"/>
    </xf>
    <xf numFmtId="3" fontId="30" fillId="0" borderId="12" xfId="0" applyNumberFormat="1" applyFont="1" applyFill="1" applyBorder="1" applyAlignment="1">
      <alignment wrapText="1"/>
    </xf>
    <xf numFmtId="165" fontId="30" fillId="0" borderId="12" xfId="0" applyNumberFormat="1" applyFont="1" applyFill="1" applyBorder="1" applyAlignment="1">
      <alignment wrapText="1"/>
    </xf>
    <xf numFmtId="43" fontId="30" fillId="0" borderId="12" xfId="31" applyFont="1" applyFill="1" applyBorder="1" applyAlignment="1">
      <alignment wrapText="1"/>
    </xf>
    <xf numFmtId="0" fontId="30" fillId="0" borderId="12" xfId="19" applyFont="1" applyFill="1" applyBorder="1" applyAlignment="1">
      <alignment horizontal="center" wrapText="1"/>
    </xf>
    <xf numFmtId="43" fontId="30" fillId="0" borderId="12" xfId="4" applyFont="1" applyFill="1" applyBorder="1" applyAlignment="1">
      <alignment horizontal="center"/>
    </xf>
    <xf numFmtId="3" fontId="30" fillId="0" borderId="12" xfId="4" applyNumberFormat="1" applyFont="1" applyFill="1" applyBorder="1" applyAlignment="1">
      <alignment horizontal="right"/>
    </xf>
    <xf numFmtId="165" fontId="30" fillId="0" borderId="12" xfId="4" applyNumberFormat="1" applyFont="1" applyFill="1" applyBorder="1" applyAlignment="1">
      <alignment horizontal="right"/>
    </xf>
    <xf numFmtId="43" fontId="30" fillId="0" borderId="12" xfId="31" applyFont="1" applyFill="1" applyBorder="1" applyAlignment="1">
      <alignment horizontal="right"/>
    </xf>
    <xf numFmtId="0" fontId="30" fillId="0" borderId="12" xfId="19" applyFont="1" applyFill="1" applyBorder="1" applyAlignment="1">
      <alignment horizontal="left" wrapText="1"/>
    </xf>
    <xf numFmtId="0" fontId="41" fillId="0" borderId="12" xfId="0" applyFont="1" applyBorder="1"/>
    <xf numFmtId="0" fontId="41" fillId="0" borderId="12" xfId="0" applyFont="1" applyFill="1" applyBorder="1"/>
    <xf numFmtId="43" fontId="41" fillId="0" borderId="12" xfId="31" applyFont="1" applyBorder="1"/>
    <xf numFmtId="0" fontId="28" fillId="0" borderId="0" xfId="0" applyFont="1" applyFill="1" applyBorder="1" applyAlignment="1">
      <alignment wrapText="1"/>
    </xf>
    <xf numFmtId="3" fontId="34" fillId="0" borderId="12" xfId="0" applyNumberFormat="1" applyFont="1" applyBorder="1" applyAlignment="1">
      <alignment horizontal="center" vertical="center" wrapText="1"/>
    </xf>
    <xf numFmtId="4" fontId="34" fillId="0" borderId="12" xfId="0" applyNumberFormat="1" applyFont="1" applyBorder="1" applyAlignment="1">
      <alignment horizontal="center" vertical="center" wrapText="1"/>
    </xf>
    <xf numFmtId="43" fontId="34" fillId="0" borderId="12" xfId="33" applyFont="1" applyBorder="1" applyAlignment="1">
      <alignment horizontal="center" vertical="center" wrapText="1"/>
    </xf>
    <xf numFmtId="0" fontId="34" fillId="0" borderId="12" xfId="0" applyFont="1" applyBorder="1" applyAlignment="1">
      <alignment horizontal="left" vertical="center" wrapText="1"/>
    </xf>
    <xf numFmtId="4" fontId="35" fillId="0" borderId="12" xfId="0" applyNumberFormat="1" applyFont="1" applyBorder="1" applyAlignment="1">
      <alignment horizontal="center" vertical="center"/>
    </xf>
    <xf numFmtId="43" fontId="35" fillId="0" borderId="12" xfId="33" applyFont="1" applyFill="1" applyBorder="1" applyAlignment="1">
      <alignment horizontal="right"/>
    </xf>
    <xf numFmtId="43" fontId="35" fillId="0" borderId="12" xfId="4" applyFont="1" applyBorder="1" applyAlignment="1">
      <alignment horizontal="right"/>
    </xf>
    <xf numFmtId="4" fontId="37" fillId="0" borderId="12" xfId="0" applyNumberFormat="1" applyFont="1" applyFill="1" applyBorder="1" applyAlignment="1">
      <alignment horizontal="center"/>
    </xf>
    <xf numFmtId="43" fontId="36" fillId="0" borderId="12" xfId="33" applyFont="1" applyFill="1" applyBorder="1" applyAlignment="1">
      <alignment horizontal="right"/>
    </xf>
    <xf numFmtId="43" fontId="34" fillId="0" borderId="12" xfId="33" applyFont="1" applyFill="1" applyBorder="1" applyAlignment="1">
      <alignment horizontal="right"/>
    </xf>
    <xf numFmtId="43" fontId="20" fillId="0" borderId="8" xfId="11" applyNumberFormat="1" applyFont="1" applyBorder="1"/>
    <xf numFmtId="0" fontId="19" fillId="3" borderId="8" xfId="11" applyFont="1" applyFill="1" applyBorder="1" applyAlignment="1">
      <alignment horizontal="center" vertical="center"/>
    </xf>
    <xf numFmtId="0" fontId="19" fillId="3" borderId="8" xfId="11" applyFont="1" applyFill="1" applyBorder="1" applyAlignment="1">
      <alignment horizontal="center"/>
    </xf>
    <xf numFmtId="0" fontId="20" fillId="3" borderId="8" xfId="11" applyFont="1" applyFill="1" applyBorder="1" applyAlignment="1">
      <alignment horizontal="center"/>
    </xf>
    <xf numFmtId="43" fontId="20" fillId="3" borderId="5" xfId="33" applyFont="1" applyFill="1" applyBorder="1"/>
    <xf numFmtId="0" fontId="35" fillId="0" borderId="8" xfId="0" applyFont="1" applyFill="1" applyBorder="1" applyAlignment="1">
      <alignment horizontal="right" vertical="center"/>
    </xf>
    <xf numFmtId="0" fontId="34" fillId="4" borderId="12" xfId="0" applyFont="1" applyFill="1" applyBorder="1" applyAlignment="1">
      <alignment horizontal="right" vertical="center"/>
    </xf>
    <xf numFmtId="0" fontId="46" fillId="4" borderId="13" xfId="0" applyNumberFormat="1" applyFont="1" applyFill="1" applyBorder="1" applyAlignment="1">
      <alignment horizontal="right" vertical="center" wrapText="1"/>
    </xf>
    <xf numFmtId="0" fontId="47" fillId="4" borderId="13" xfId="0" applyNumberFormat="1" applyFont="1" applyFill="1" applyBorder="1" applyAlignment="1">
      <alignment horizontal="right" vertical="center" wrapText="1"/>
    </xf>
    <xf numFmtId="0" fontId="47" fillId="4" borderId="13" xfId="0" applyFont="1" applyFill="1" applyBorder="1" applyAlignment="1">
      <alignment horizontal="right" vertical="center" wrapText="1"/>
    </xf>
    <xf numFmtId="2" fontId="47" fillId="4" borderId="13" xfId="0" applyNumberFormat="1" applyFont="1" applyFill="1" applyBorder="1" applyAlignment="1">
      <alignment horizontal="right" vertical="center" wrapText="1"/>
    </xf>
    <xf numFmtId="0" fontId="47" fillId="4" borderId="13" xfId="0" applyFont="1" applyFill="1" applyBorder="1" applyAlignment="1">
      <alignment horizontal="right" vertical="center"/>
    </xf>
    <xf numFmtId="0" fontId="52" fillId="4" borderId="15" xfId="0" applyFont="1" applyFill="1" applyBorder="1" applyAlignment="1">
      <alignment horizontal="right" vertical="center"/>
    </xf>
    <xf numFmtId="0" fontId="54" fillId="4" borderId="15" xfId="0" applyFont="1" applyFill="1" applyBorder="1" applyAlignment="1">
      <alignment horizontal="right" vertical="center"/>
    </xf>
    <xf numFmtId="0" fontId="35" fillId="4" borderId="15" xfId="0" applyFont="1" applyFill="1" applyBorder="1" applyAlignment="1">
      <alignment horizontal="right" vertical="center"/>
    </xf>
    <xf numFmtId="0" fontId="34" fillId="4" borderId="15" xfId="0" applyFont="1" applyFill="1" applyBorder="1" applyAlignment="1">
      <alignment horizontal="right" vertical="center"/>
    </xf>
    <xf numFmtId="0" fontId="35" fillId="0" borderId="0" xfId="0" applyFont="1" applyAlignment="1">
      <alignment vertical="center"/>
    </xf>
    <xf numFmtId="4" fontId="52" fillId="4" borderId="15" xfId="0" applyNumberFormat="1" applyFont="1" applyFill="1" applyBorder="1" applyAlignment="1">
      <alignment horizontal="left" vertical="center" wrapText="1"/>
    </xf>
    <xf numFmtId="4" fontId="35" fillId="4" borderId="15" xfId="0" applyNumberFormat="1" applyFont="1" applyFill="1" applyBorder="1" applyAlignment="1">
      <alignment wrapText="1"/>
    </xf>
    <xf numFmtId="0" fontId="35" fillId="4" borderId="12" xfId="0" applyFont="1" applyFill="1" applyBorder="1" applyAlignment="1">
      <alignment horizontal="right" vertical="center"/>
    </xf>
    <xf numFmtId="0" fontId="35" fillId="4" borderId="12" xfId="0" applyFont="1" applyFill="1" applyBorder="1" applyAlignment="1">
      <alignment horizontal="left" wrapText="1"/>
    </xf>
    <xf numFmtId="165" fontId="38" fillId="4" borderId="12" xfId="0" applyNumberFormat="1" applyFont="1" applyFill="1" applyBorder="1" applyAlignment="1">
      <alignment horizontal="center"/>
    </xf>
    <xf numFmtId="43" fontId="45" fillId="4" borderId="12" xfId="31" applyFont="1" applyFill="1" applyBorder="1" applyAlignment="1">
      <alignment wrapText="1"/>
    </xf>
    <xf numFmtId="0" fontId="35" fillId="0" borderId="0" xfId="0" applyFont="1" applyAlignment="1">
      <alignment wrapText="1"/>
    </xf>
    <xf numFmtId="0" fontId="26" fillId="4" borderId="12" xfId="0" applyFont="1" applyFill="1" applyBorder="1" applyAlignment="1">
      <alignment horizontal="left" wrapText="1"/>
    </xf>
    <xf numFmtId="0" fontId="35" fillId="4" borderId="12" xfId="0" applyFont="1" applyFill="1" applyBorder="1" applyAlignment="1">
      <alignment wrapText="1"/>
    </xf>
    <xf numFmtId="2" fontId="30" fillId="0" borderId="12" xfId="19" applyNumberFormat="1" applyFont="1" applyFill="1" applyBorder="1" applyAlignment="1">
      <alignment horizontal="center" wrapText="1"/>
    </xf>
    <xf numFmtId="0" fontId="54" fillId="4" borderId="13" xfId="0" applyFont="1" applyFill="1" applyBorder="1" applyAlignment="1">
      <alignment horizontal="right" vertical="center"/>
    </xf>
    <xf numFmtId="0" fontId="54" fillId="4" borderId="13" xfId="0" applyFont="1" applyFill="1" applyBorder="1" applyAlignment="1">
      <alignment wrapText="1"/>
    </xf>
    <xf numFmtId="0" fontId="54" fillId="4" borderId="13" xfId="0" applyFont="1" applyFill="1" applyBorder="1" applyAlignment="1"/>
    <xf numFmtId="43" fontId="54" fillId="4" borderId="13" xfId="31" applyFont="1" applyFill="1" applyBorder="1" applyAlignment="1">
      <alignment horizontal="right" vertical="center"/>
    </xf>
    <xf numFmtId="0" fontId="26" fillId="4" borderId="12" xfId="0" applyFont="1" applyFill="1" applyBorder="1" applyAlignment="1">
      <alignment wrapText="1"/>
    </xf>
    <xf numFmtId="0" fontId="34" fillId="4" borderId="12" xfId="0" applyFont="1" applyFill="1" applyBorder="1" applyAlignment="1">
      <alignment wrapText="1"/>
    </xf>
    <xf numFmtId="0" fontId="34" fillId="4" borderId="11" xfId="0" applyFont="1" applyFill="1" applyBorder="1" applyAlignment="1">
      <alignment horizontal="right" vertical="center" wrapText="1"/>
    </xf>
    <xf numFmtId="0" fontId="36" fillId="4" borderId="11" xfId="0" applyFont="1" applyFill="1" applyBorder="1" applyAlignment="1">
      <alignment horizontal="left" wrapText="1"/>
    </xf>
    <xf numFmtId="0" fontId="36" fillId="4" borderId="11" xfId="0" applyFont="1" applyFill="1" applyBorder="1" applyAlignment="1">
      <alignment horizontal="center" vertical="center" wrapText="1"/>
    </xf>
    <xf numFmtId="3" fontId="34" fillId="4" borderId="11" xfId="0" applyNumberFormat="1" applyFont="1" applyFill="1" applyBorder="1" applyAlignment="1">
      <alignment horizontal="center" vertical="center" wrapText="1"/>
    </xf>
    <xf numFmtId="165" fontId="34" fillId="4" borderId="11" xfId="0" applyNumberFormat="1" applyFont="1" applyFill="1" applyBorder="1" applyAlignment="1">
      <alignment vertical="center" wrapText="1"/>
    </xf>
    <xf numFmtId="44" fontId="34" fillId="4" borderId="11" xfId="38" applyFont="1" applyFill="1" applyBorder="1" applyAlignment="1">
      <alignment vertical="center" wrapText="1"/>
    </xf>
    <xf numFmtId="0" fontId="34" fillId="4" borderId="0" xfId="0" applyFont="1" applyFill="1" applyBorder="1" applyAlignment="1"/>
    <xf numFmtId="169" fontId="34" fillId="0" borderId="11" xfId="31" applyNumberFormat="1" applyFont="1" applyFill="1" applyBorder="1" applyAlignment="1" applyProtection="1">
      <alignment horizontal="center" vertical="center" wrapText="1"/>
    </xf>
    <xf numFmtId="2" fontId="34" fillId="0" borderId="11" xfId="0" applyNumberFormat="1" applyFont="1" applyFill="1" applyBorder="1" applyAlignment="1">
      <alignment horizontal="left" vertical="center" wrapText="1"/>
    </xf>
    <xf numFmtId="166" fontId="35" fillId="0" borderId="11" xfId="0" applyNumberFormat="1" applyFont="1" applyFill="1" applyBorder="1" applyAlignment="1">
      <alignment horizontal="center" vertical="center" wrapText="1"/>
    </xf>
    <xf numFmtId="170" fontId="35" fillId="0" borderId="11" xfId="0" applyNumberFormat="1" applyFont="1" applyFill="1" applyBorder="1" applyAlignment="1">
      <alignment vertical="center" wrapText="1"/>
    </xf>
    <xf numFmtId="167" fontId="35" fillId="0" borderId="11" xfId="31" applyNumberFormat="1" applyFont="1" applyFill="1" applyBorder="1" applyAlignment="1" applyProtection="1">
      <alignment horizontal="center" vertical="center" wrapText="1"/>
    </xf>
    <xf numFmtId="2" fontId="35" fillId="0" borderId="11" xfId="0" applyNumberFormat="1" applyFont="1" applyFill="1" applyBorder="1" applyAlignment="1">
      <alignment horizontal="left" vertical="center" wrapText="1"/>
    </xf>
    <xf numFmtId="166" fontId="34" fillId="0" borderId="11" xfId="0" applyNumberFormat="1" applyFont="1" applyFill="1" applyBorder="1" applyAlignment="1">
      <alignment horizontal="center" vertical="center" wrapText="1"/>
    </xf>
    <xf numFmtId="170" fontId="34" fillId="0" borderId="11" xfId="0" applyNumberFormat="1" applyFont="1" applyFill="1" applyBorder="1" applyAlignment="1">
      <alignment vertical="center" wrapText="1"/>
    </xf>
    <xf numFmtId="167" fontId="34" fillId="0" borderId="11" xfId="31" applyNumberFormat="1" applyFont="1" applyFill="1" applyBorder="1" applyAlignment="1" applyProtection="1">
      <alignment horizontal="center" vertical="center" wrapText="1"/>
    </xf>
    <xf numFmtId="0" fontId="35" fillId="0" borderId="11" xfId="39" applyFont="1" applyFill="1" applyBorder="1" applyAlignment="1">
      <alignment horizontal="center" vertical="center" wrapText="1"/>
    </xf>
    <xf numFmtId="0" fontId="35" fillId="0" borderId="11" xfId="39" applyFont="1" applyBorder="1" applyAlignment="1">
      <alignment horizontal="left" vertical="center" wrapText="1"/>
    </xf>
    <xf numFmtId="167" fontId="35" fillId="0" borderId="11" xfId="39" applyNumberFormat="1" applyFont="1" applyFill="1" applyBorder="1" applyAlignment="1">
      <alignment horizontal="right" vertical="center" wrapText="1"/>
    </xf>
    <xf numFmtId="0" fontId="64" fillId="0" borderId="0" xfId="39" applyFont="1" applyAlignment="1">
      <alignment horizontal="center" vertical="center"/>
    </xf>
    <xf numFmtId="0" fontId="0" fillId="0" borderId="0" xfId="0" applyFont="1" applyAlignment="1">
      <alignment horizontal="center" vertical="center"/>
    </xf>
    <xf numFmtId="170" fontId="35" fillId="0" borderId="11" xfId="39" applyNumberFormat="1" applyFont="1" applyFill="1" applyBorder="1" applyAlignment="1">
      <alignment horizontal="center" vertical="center" wrapText="1"/>
    </xf>
    <xf numFmtId="0" fontId="65" fillId="0" borderId="0" xfId="39" applyFont="1" applyAlignment="1">
      <alignment horizontal="center" vertical="center"/>
    </xf>
    <xf numFmtId="0" fontId="35" fillId="4" borderId="9" xfId="0" applyFont="1" applyFill="1" applyBorder="1" applyAlignment="1">
      <alignment horizontal="center"/>
    </xf>
    <xf numFmtId="0" fontId="35" fillId="0" borderId="9" xfId="39" applyFont="1" applyBorder="1" applyAlignment="1">
      <alignment horizontal="left" vertical="center" wrapText="1"/>
    </xf>
    <xf numFmtId="0" fontId="35" fillId="4" borderId="8" xfId="0" applyFont="1" applyFill="1" applyBorder="1" applyAlignment="1">
      <alignment vertical="center"/>
    </xf>
    <xf numFmtId="165" fontId="35" fillId="4" borderId="8" xfId="0" applyNumberFormat="1" applyFont="1" applyFill="1" applyBorder="1" applyAlignment="1">
      <alignment vertical="center"/>
    </xf>
    <xf numFmtId="4" fontId="35" fillId="4" borderId="8" xfId="0" applyNumberFormat="1" applyFont="1" applyFill="1" applyBorder="1" applyAlignment="1">
      <alignment horizontal="center" vertical="center"/>
    </xf>
    <xf numFmtId="165" fontId="35" fillId="4" borderId="8" xfId="0" applyNumberFormat="1" applyFont="1" applyFill="1" applyBorder="1" applyAlignment="1">
      <alignment horizontal="center" vertical="center"/>
    </xf>
    <xf numFmtId="167" fontId="35" fillId="4" borderId="8" xfId="0" applyNumberFormat="1" applyFont="1" applyFill="1" applyBorder="1" applyAlignment="1">
      <alignment horizontal="center" vertical="center"/>
    </xf>
    <xf numFmtId="4" fontId="35" fillId="4" borderId="12" xfId="0" applyNumberFormat="1" applyFont="1" applyFill="1" applyBorder="1" applyAlignment="1">
      <alignment horizontal="center" vertical="center"/>
    </xf>
    <xf numFmtId="165" fontId="35" fillId="4" borderId="12" xfId="0" applyNumberFormat="1" applyFont="1" applyFill="1" applyBorder="1" applyAlignment="1">
      <alignment vertical="center"/>
    </xf>
    <xf numFmtId="0" fontId="35" fillId="4" borderId="12" xfId="0" applyFont="1" applyFill="1" applyBorder="1" applyAlignment="1">
      <alignment vertical="center"/>
    </xf>
    <xf numFmtId="0" fontId="35" fillId="4" borderId="8" xfId="0" applyFont="1" applyFill="1" applyBorder="1" applyAlignment="1">
      <alignment horizontal="center" vertical="center"/>
    </xf>
    <xf numFmtId="0" fontId="35" fillId="4" borderId="12" xfId="0" applyFont="1" applyFill="1" applyBorder="1" applyAlignment="1">
      <alignment horizontal="center" vertical="center"/>
    </xf>
    <xf numFmtId="165" fontId="35" fillId="4" borderId="12" xfId="0" applyNumberFormat="1" applyFont="1" applyFill="1" applyBorder="1" applyAlignment="1">
      <alignment horizontal="center" vertical="center"/>
    </xf>
    <xf numFmtId="3" fontId="35" fillId="0" borderId="12" xfId="13" quotePrefix="1" applyNumberFormat="1" applyFont="1" applyFill="1" applyBorder="1" applyAlignment="1">
      <alignment horizontal="center" vertical="center"/>
    </xf>
    <xf numFmtId="0" fontId="0" fillId="0" borderId="12" xfId="0" applyFont="1" applyBorder="1" applyAlignment="1">
      <alignment vertical="center"/>
    </xf>
    <xf numFmtId="0" fontId="36" fillId="0" borderId="12" xfId="0" applyFont="1" applyFill="1" applyBorder="1" applyAlignment="1">
      <alignment vertical="center"/>
    </xf>
    <xf numFmtId="0" fontId="35" fillId="4" borderId="0" xfId="0" applyFont="1" applyFill="1" applyAlignment="1">
      <alignment vertical="center"/>
    </xf>
    <xf numFmtId="165" fontId="35" fillId="4" borderId="0" xfId="0" applyNumberFormat="1" applyFont="1" applyFill="1" applyAlignment="1">
      <alignment vertical="center"/>
    </xf>
    <xf numFmtId="44" fontId="34" fillId="4" borderId="8" xfId="38" applyFont="1" applyFill="1" applyBorder="1" applyAlignment="1">
      <alignment horizontal="center" vertical="center" wrapText="1"/>
    </xf>
    <xf numFmtId="44" fontId="35" fillId="4" borderId="8" xfId="38" applyFont="1" applyFill="1" applyBorder="1" applyAlignment="1">
      <alignment horizontal="center" vertical="center"/>
    </xf>
    <xf numFmtId="44" fontId="35" fillId="4" borderId="8" xfId="38" applyFont="1" applyFill="1" applyBorder="1" applyAlignment="1">
      <alignment vertical="center"/>
    </xf>
    <xf numFmtId="44" fontId="35" fillId="4" borderId="12" xfId="38" applyFont="1" applyFill="1" applyBorder="1" applyAlignment="1">
      <alignment vertical="center"/>
    </xf>
    <xf numFmtId="44" fontId="35" fillId="4" borderId="12" xfId="38" applyFont="1" applyFill="1" applyBorder="1" applyAlignment="1">
      <alignment horizontal="center" vertical="center"/>
    </xf>
    <xf numFmtId="44" fontId="35" fillId="0" borderId="11" xfId="38" applyFont="1" applyFill="1" applyBorder="1" applyAlignment="1" applyProtection="1">
      <alignment horizontal="center" vertical="center" wrapText="1"/>
    </xf>
    <xf numFmtId="44" fontId="34" fillId="0" borderId="11" xfId="38" applyFont="1" applyFill="1" applyBorder="1" applyAlignment="1" applyProtection="1">
      <alignment horizontal="center" vertical="center" wrapText="1"/>
    </xf>
    <xf numFmtId="44" fontId="35" fillId="0" borderId="11" xfId="38" applyFont="1" applyFill="1" applyBorder="1" applyAlignment="1">
      <alignment horizontal="right" vertical="center" wrapText="1"/>
    </xf>
    <xf numFmtId="44" fontId="35" fillId="0" borderId="9" xfId="38" applyFont="1" applyFill="1" applyBorder="1" applyAlignment="1">
      <alignment horizontal="right" vertical="center" wrapText="1"/>
    </xf>
    <xf numFmtId="44" fontId="0" fillId="0" borderId="12" xfId="38" applyFont="1" applyBorder="1" applyAlignment="1">
      <alignment vertical="center"/>
    </xf>
    <xf numFmtId="44" fontId="0" fillId="0" borderId="12" xfId="38" applyFont="1" applyBorder="1" applyAlignment="1">
      <alignment horizontal="center" vertical="center"/>
    </xf>
    <xf numFmtId="44" fontId="34" fillId="0" borderId="12" xfId="38" applyFont="1" applyFill="1" applyBorder="1" applyAlignment="1">
      <alignment horizontal="right" vertical="center"/>
    </xf>
    <xf numFmtId="44" fontId="35" fillId="4" borderId="0" xfId="38" applyFont="1" applyFill="1" applyAlignment="1">
      <alignment vertical="center"/>
    </xf>
    <xf numFmtId="44" fontId="28" fillId="2" borderId="8" xfId="38" applyFont="1" applyFill="1" applyBorder="1" applyAlignment="1">
      <alignment vertical="center" wrapText="1"/>
    </xf>
    <xf numFmtId="44" fontId="30" fillId="0" borderId="8" xfId="38" applyFont="1" applyFill="1" applyBorder="1" applyAlignment="1">
      <alignment vertical="center"/>
    </xf>
    <xf numFmtId="44" fontId="16" fillId="0" borderId="8" xfId="38" applyFont="1" applyFill="1" applyBorder="1" applyAlignment="1">
      <alignment wrapText="1"/>
    </xf>
    <xf numFmtId="44" fontId="15" fillId="0" borderId="8" xfId="38" applyFont="1" applyFill="1" applyBorder="1" applyAlignment="1">
      <alignment horizontal="right"/>
    </xf>
    <xf numFmtId="44" fontId="34" fillId="0" borderId="12" xfId="38" applyFont="1" applyBorder="1" applyAlignment="1">
      <alignment horizontal="center" vertical="center"/>
    </xf>
    <xf numFmtId="44" fontId="30" fillId="0" borderId="12" xfId="38" applyFont="1" applyFill="1" applyBorder="1" applyAlignment="1"/>
    <xf numFmtId="44" fontId="28" fillId="0" borderId="12" xfId="38" applyFont="1" applyFill="1" applyBorder="1" applyAlignment="1"/>
    <xf numFmtId="44" fontId="28" fillId="4" borderId="12" xfId="38" applyFont="1" applyFill="1" applyBorder="1" applyAlignment="1">
      <alignment vertical="center" wrapText="1"/>
    </xf>
    <xf numFmtId="44" fontId="0" fillId="0" borderId="0" xfId="38" applyFont="1"/>
    <xf numFmtId="0" fontId="41" fillId="4" borderId="0" xfId="0" applyFont="1" applyFill="1"/>
    <xf numFmtId="0" fontId="35" fillId="0" borderId="0" xfId="0" applyFont="1"/>
    <xf numFmtId="0" fontId="35" fillId="0" borderId="3" xfId="0" applyFont="1" applyBorder="1" applyAlignment="1">
      <alignment horizontal="center"/>
    </xf>
    <xf numFmtId="1" fontId="35" fillId="0" borderId="3" xfId="0" applyNumberFormat="1" applyFont="1" applyBorder="1" applyAlignment="1">
      <alignment horizontal="center"/>
    </xf>
    <xf numFmtId="0" fontId="35" fillId="0" borderId="3" xfId="0" applyFont="1" applyBorder="1" applyAlignment="1">
      <alignment horizontal="left" indent="1"/>
    </xf>
    <xf numFmtId="0" fontId="36" fillId="0" borderId="15" xfId="19" applyFont="1" applyFill="1" applyBorder="1" applyAlignment="1">
      <alignment horizontal="left" wrapText="1"/>
    </xf>
    <xf numFmtId="4" fontId="35" fillId="0" borderId="15" xfId="19" applyNumberFormat="1" applyFont="1" applyFill="1" applyBorder="1" applyAlignment="1">
      <alignment horizontal="center"/>
    </xf>
    <xf numFmtId="3" fontId="35" fillId="0" borderId="15" xfId="19" applyNumberFormat="1" applyFont="1" applyFill="1" applyBorder="1" applyAlignment="1">
      <alignment horizontal="center"/>
    </xf>
    <xf numFmtId="0" fontId="35" fillId="0" borderId="15" xfId="19" applyFont="1" applyFill="1" applyBorder="1" applyAlignment="1">
      <alignment horizontal="left" wrapText="1"/>
    </xf>
    <xf numFmtId="165" fontId="35" fillId="0" borderId="15" xfId="19" applyNumberFormat="1" applyFont="1" applyFill="1" applyBorder="1" applyAlignment="1">
      <alignment horizontal="center"/>
    </xf>
    <xf numFmtId="43" fontId="35" fillId="0" borderId="15" xfId="4" applyNumberFormat="1" applyFont="1" applyFill="1" applyBorder="1" applyAlignment="1"/>
    <xf numFmtId="0" fontId="47" fillId="4" borderId="21" xfId="19" applyFont="1" applyFill="1" applyBorder="1" applyAlignment="1">
      <alignment wrapText="1"/>
    </xf>
    <xf numFmtId="0" fontId="48" fillId="4" borderId="21" xfId="19" applyFont="1" applyFill="1" applyBorder="1" applyAlignment="1">
      <alignment wrapText="1"/>
    </xf>
    <xf numFmtId="0" fontId="26" fillId="4" borderId="0" xfId="19" applyFont="1" applyFill="1" applyBorder="1" applyAlignment="1">
      <alignment horizontal="right" vertical="center"/>
    </xf>
    <xf numFmtId="0" fontId="26" fillId="4" borderId="0" xfId="19" applyFont="1" applyFill="1" applyBorder="1" applyAlignment="1">
      <alignment horizontal="center" vertical="center" wrapText="1"/>
    </xf>
    <xf numFmtId="0" fontId="26" fillId="4" borderId="0" xfId="19" applyFont="1" applyFill="1" applyBorder="1" applyAlignment="1">
      <alignment horizontal="center" vertical="center"/>
    </xf>
    <xf numFmtId="3" fontId="34" fillId="4" borderId="0" xfId="34" applyNumberFormat="1" applyFont="1" applyFill="1" applyBorder="1" applyAlignment="1">
      <alignment horizontal="center" vertical="center" wrapText="1"/>
    </xf>
    <xf numFmtId="165" fontId="34" fillId="4" borderId="0" xfId="34" applyNumberFormat="1" applyFont="1" applyFill="1" applyBorder="1" applyAlignment="1">
      <alignment horizontal="center" vertical="center" wrapText="1"/>
    </xf>
    <xf numFmtId="0" fontId="48" fillId="4" borderId="21" xfId="19" applyFont="1" applyFill="1" applyBorder="1" applyAlignment="1">
      <alignment vertical="center" wrapText="1"/>
    </xf>
    <xf numFmtId="0" fontId="27" fillId="4" borderId="23" xfId="19" applyFont="1" applyFill="1" applyBorder="1" applyAlignment="1">
      <alignment horizontal="right" vertical="center"/>
    </xf>
    <xf numFmtId="3" fontId="53" fillId="4" borderId="22" xfId="19" applyNumberFormat="1" applyFont="1" applyFill="1" applyBorder="1" applyAlignment="1">
      <alignment horizontal="center"/>
    </xf>
    <xf numFmtId="165" fontId="53" fillId="4" borderId="22" xfId="19" applyNumberFormat="1" applyFont="1" applyFill="1" applyBorder="1" applyAlignment="1">
      <alignment horizontal="center"/>
    </xf>
    <xf numFmtId="4" fontId="53" fillId="4" borderId="22" xfId="19" applyNumberFormat="1" applyFont="1" applyFill="1" applyBorder="1" applyAlignment="1">
      <alignment horizontal="center"/>
    </xf>
    <xf numFmtId="0" fontId="54" fillId="4" borderId="22" xfId="27" applyFont="1" applyFill="1" applyBorder="1" applyAlignment="1">
      <alignment horizontal="right" vertical="center"/>
    </xf>
    <xf numFmtId="4" fontId="55" fillId="4" borderId="22" xfId="19" applyNumberFormat="1" applyFont="1" applyFill="1" applyBorder="1" applyAlignment="1">
      <alignment horizontal="left" wrapText="1"/>
    </xf>
    <xf numFmtId="4" fontId="54" fillId="4" borderId="22" xfId="19" applyNumberFormat="1" applyFont="1" applyFill="1" applyBorder="1" applyAlignment="1">
      <alignment horizontal="center"/>
    </xf>
    <xf numFmtId="165" fontId="54" fillId="4" borderId="22" xfId="19" applyNumberFormat="1" applyFont="1" applyFill="1" applyBorder="1" applyAlignment="1">
      <alignment horizontal="center"/>
    </xf>
    <xf numFmtId="3" fontId="54" fillId="4" borderId="22" xfId="19" applyNumberFormat="1" applyFont="1" applyFill="1" applyBorder="1" applyAlignment="1">
      <alignment horizontal="center"/>
    </xf>
    <xf numFmtId="3" fontId="54" fillId="4" borderId="22" xfId="19" applyNumberFormat="1" applyFont="1" applyFill="1" applyBorder="1" applyAlignment="1">
      <alignment horizontal="left" wrapText="1"/>
    </xf>
    <xf numFmtId="4" fontId="53" fillId="4" borderId="22" xfId="19" applyNumberFormat="1" applyFont="1" applyFill="1" applyBorder="1" applyAlignment="1">
      <alignment horizontal="left" wrapText="1"/>
    </xf>
    <xf numFmtId="4" fontId="54" fillId="4" borderId="22" xfId="19" applyNumberFormat="1" applyFont="1" applyFill="1" applyBorder="1" applyAlignment="1">
      <alignment horizontal="left" wrapText="1"/>
    </xf>
    <xf numFmtId="0" fontId="54" fillId="4" borderId="22" xfId="19" applyFont="1" applyFill="1" applyBorder="1" applyAlignment="1">
      <alignment horizontal="center"/>
    </xf>
    <xf numFmtId="0" fontId="54" fillId="4" borderId="22" xfId="19" applyFont="1" applyFill="1" applyBorder="1" applyAlignment="1">
      <alignment horizontal="left" wrapText="1"/>
    </xf>
    <xf numFmtId="0" fontId="55" fillId="4" borderId="22" xfId="19" applyFont="1" applyFill="1" applyBorder="1" applyAlignment="1">
      <alignment horizontal="left" wrapText="1"/>
    </xf>
    <xf numFmtId="0" fontId="52" fillId="4" borderId="22" xfId="19" applyFont="1" applyFill="1" applyBorder="1" applyAlignment="1">
      <alignment horizontal="left" wrapText="1"/>
    </xf>
    <xf numFmtId="0" fontId="52" fillId="4" borderId="22" xfId="19" applyFont="1" applyFill="1" applyBorder="1" applyAlignment="1">
      <alignment horizontal="center"/>
    </xf>
    <xf numFmtId="165" fontId="52" fillId="4" borderId="22" xfId="19" applyNumberFormat="1" applyFont="1" applyFill="1" applyBorder="1" applyAlignment="1">
      <alignment horizontal="center"/>
    </xf>
    <xf numFmtId="4" fontId="52" fillId="4" borderId="22" xfId="19" applyNumberFormat="1" applyFont="1" applyFill="1" applyBorder="1" applyAlignment="1">
      <alignment horizontal="center"/>
    </xf>
    <xf numFmtId="0" fontId="35" fillId="0" borderId="15" xfId="19" applyFont="1" applyFill="1" applyBorder="1" applyAlignment="1">
      <alignment horizontal="right" vertical="center"/>
    </xf>
    <xf numFmtId="0" fontId="47" fillId="4" borderId="21" xfId="19" applyFont="1" applyFill="1" applyBorder="1" applyAlignment="1">
      <alignment horizontal="right" vertical="center" wrapText="1"/>
    </xf>
    <xf numFmtId="0" fontId="52" fillId="4" borderId="22" xfId="19" applyFont="1" applyFill="1" applyBorder="1" applyAlignment="1">
      <alignment horizontal="right" vertical="center"/>
    </xf>
    <xf numFmtId="0" fontId="54" fillId="4" borderId="22" xfId="19" applyFont="1" applyFill="1" applyBorder="1" applyAlignment="1">
      <alignment horizontal="right" vertical="center"/>
    </xf>
    <xf numFmtId="0" fontId="26" fillId="0" borderId="17" xfId="19" applyFont="1" applyFill="1" applyBorder="1" applyAlignment="1">
      <alignment horizontal="right" vertical="center"/>
    </xf>
    <xf numFmtId="0" fontId="26" fillId="0" borderId="18" xfId="19" applyFont="1" applyFill="1" applyBorder="1" applyAlignment="1">
      <alignment wrapText="1"/>
    </xf>
    <xf numFmtId="0" fontId="12" fillId="0" borderId="18" xfId="19" applyFont="1" applyFill="1" applyBorder="1" applyAlignment="1">
      <alignment horizontal="center"/>
    </xf>
    <xf numFmtId="0" fontId="12" fillId="0" borderId="17" xfId="19" applyFont="1" applyFill="1" applyBorder="1" applyAlignment="1">
      <alignment horizontal="right" vertical="center"/>
    </xf>
    <xf numFmtId="0" fontId="12" fillId="0" borderId="18" xfId="19" applyFont="1" applyFill="1" applyBorder="1" applyAlignment="1">
      <alignment wrapText="1"/>
    </xf>
    <xf numFmtId="0" fontId="26" fillId="0" borderId="17" xfId="19" quotePrefix="1" applyFont="1" applyFill="1" applyBorder="1" applyAlignment="1">
      <alignment horizontal="right" vertical="center"/>
    </xf>
    <xf numFmtId="0" fontId="66" fillId="0" borderId="18" xfId="19" applyFont="1" applyFill="1" applyBorder="1" applyAlignment="1">
      <alignment wrapText="1"/>
    </xf>
    <xf numFmtId="14" fontId="12" fillId="0" borderId="17" xfId="19" applyNumberFormat="1" applyFont="1" applyFill="1" applyBorder="1" applyAlignment="1">
      <alignment horizontal="right" vertical="center"/>
    </xf>
    <xf numFmtId="0" fontId="35" fillId="0" borderId="17" xfId="19" applyFont="1" applyFill="1" applyBorder="1" applyAlignment="1">
      <alignment horizontal="right" vertical="center"/>
    </xf>
    <xf numFmtId="0" fontId="35" fillId="0" borderId="18" xfId="19" applyFont="1" applyFill="1" applyBorder="1" applyAlignment="1">
      <alignment wrapText="1"/>
    </xf>
    <xf numFmtId="0" fontId="35" fillId="0" borderId="18" xfId="19" applyFont="1" applyFill="1" applyBorder="1" applyAlignment="1">
      <alignment horizontal="center"/>
    </xf>
    <xf numFmtId="0" fontId="35" fillId="0" borderId="18" xfId="19" applyFont="1" applyFill="1" applyBorder="1" applyAlignment="1">
      <alignment horizontal="right"/>
    </xf>
    <xf numFmtId="0" fontId="38" fillId="0" borderId="18" xfId="19" applyFont="1" applyFill="1" applyBorder="1" applyAlignment="1">
      <alignment wrapText="1"/>
    </xf>
    <xf numFmtId="0" fontId="38" fillId="0" borderId="18" xfId="19" applyFont="1" applyFill="1" applyBorder="1" applyAlignment="1">
      <alignment horizontal="center"/>
    </xf>
    <xf numFmtId="0" fontId="38" fillId="0" borderId="18" xfId="19" applyFont="1" applyFill="1" applyBorder="1" applyAlignment="1">
      <alignment horizontal="right"/>
    </xf>
    <xf numFmtId="0" fontId="12" fillId="0" borderId="20" xfId="19" applyFont="1" applyFill="1" applyBorder="1" applyAlignment="1">
      <alignment horizontal="right" vertical="center"/>
    </xf>
    <xf numFmtId="0" fontId="35" fillId="0" borderId="20" xfId="19" applyFont="1" applyFill="1" applyBorder="1" applyAlignment="1">
      <alignment horizontal="right" vertical="center"/>
    </xf>
    <xf numFmtId="0" fontId="35" fillId="0" borderId="18" xfId="19" applyFont="1" applyFill="1" applyBorder="1" applyAlignment="1">
      <alignment horizontal="left" wrapText="1"/>
    </xf>
    <xf numFmtId="3" fontId="35" fillId="0" borderId="18" xfId="19" applyNumberFormat="1" applyFont="1" applyFill="1" applyBorder="1" applyAlignment="1">
      <alignment horizontal="center"/>
    </xf>
    <xf numFmtId="165" fontId="35" fillId="0" borderId="18" xfId="19" applyNumberFormat="1" applyFont="1" applyFill="1" applyBorder="1" applyAlignment="1">
      <alignment horizontal="center"/>
    </xf>
    <xf numFmtId="0" fontId="35" fillId="0" borderId="0" xfId="19" quotePrefix="1" applyFont="1" applyFill="1" applyBorder="1" applyAlignment="1">
      <alignment horizontal="right" vertical="center"/>
    </xf>
    <xf numFmtId="0" fontId="35" fillId="0" borderId="0" xfId="19" applyFont="1" applyFill="1" applyBorder="1" applyAlignment="1">
      <alignment wrapText="1"/>
    </xf>
    <xf numFmtId="0" fontId="35" fillId="0" borderId="0" xfId="19" applyFont="1" applyFill="1" applyBorder="1" applyAlignment="1">
      <alignment horizontal="center"/>
    </xf>
    <xf numFmtId="0" fontId="35" fillId="0" borderId="0" xfId="19" applyFont="1" applyFill="1" applyBorder="1" applyAlignment="1">
      <alignment horizontal="right"/>
    </xf>
    <xf numFmtId="43" fontId="34" fillId="4" borderId="15" xfId="33" applyFont="1" applyFill="1" applyBorder="1" applyAlignment="1">
      <alignment horizontal="center" vertical="center" wrapText="1"/>
    </xf>
    <xf numFmtId="0" fontId="35" fillId="4" borderId="22" xfId="19" applyFont="1" applyFill="1" applyBorder="1"/>
    <xf numFmtId="43" fontId="35" fillId="4" borderId="22" xfId="33" applyFont="1" applyFill="1" applyBorder="1"/>
    <xf numFmtId="0" fontId="34" fillId="4" borderId="22" xfId="19" applyFont="1" applyFill="1" applyBorder="1"/>
    <xf numFmtId="0" fontId="35" fillId="4" borderId="22" xfId="19" applyFont="1" applyFill="1" applyBorder="1" applyAlignment="1">
      <alignment horizontal="right" vertical="center"/>
    </xf>
    <xf numFmtId="0" fontId="34" fillId="4" borderId="22" xfId="19" applyFont="1" applyFill="1" applyBorder="1" applyAlignment="1">
      <alignment horizontal="right" vertical="center"/>
    </xf>
    <xf numFmtId="4" fontId="35" fillId="4" borderId="22" xfId="19" applyNumberFormat="1" applyFont="1" applyFill="1" applyBorder="1" applyAlignment="1">
      <alignment wrapText="1"/>
    </xf>
    <xf numFmtId="43" fontId="7" fillId="0" borderId="19" xfId="33" applyFont="1" applyFill="1" applyBorder="1"/>
    <xf numFmtId="43" fontId="26" fillId="0" borderId="19" xfId="33" applyFont="1" applyFill="1" applyBorder="1"/>
    <xf numFmtId="0" fontId="48" fillId="4" borderId="0" xfId="0" applyFont="1" applyFill="1" applyAlignment="1"/>
    <xf numFmtId="0" fontId="48" fillId="0" borderId="0" xfId="0" applyFont="1" applyFill="1" applyAlignment="1"/>
    <xf numFmtId="0" fontId="6" fillId="0" borderId="0" xfId="0" applyFont="1" applyAlignment="1">
      <alignment wrapText="1"/>
    </xf>
    <xf numFmtId="0" fontId="6" fillId="4" borderId="0" xfId="0" applyFont="1" applyFill="1"/>
    <xf numFmtId="0" fontId="6" fillId="0" borderId="0" xfId="0" applyFont="1"/>
    <xf numFmtId="0" fontId="26" fillId="4" borderId="0" xfId="0" applyFont="1" applyFill="1"/>
    <xf numFmtId="0" fontId="26" fillId="0" borderId="0" xfId="0" applyFont="1"/>
    <xf numFmtId="0" fontId="6" fillId="0" borderId="0" xfId="0" applyFont="1" applyAlignment="1">
      <alignment vertical="center"/>
    </xf>
    <xf numFmtId="0" fontId="6" fillId="0" borderId="0" xfId="0" applyFont="1" applyAlignment="1"/>
    <xf numFmtId="0" fontId="35" fillId="0" borderId="0" xfId="0" applyFont="1" applyAlignment="1"/>
    <xf numFmtId="0" fontId="29" fillId="4" borderId="24" xfId="0" applyFont="1" applyFill="1" applyBorder="1" applyAlignment="1"/>
    <xf numFmtId="0" fontId="26" fillId="0" borderId="22" xfId="0" applyFont="1" applyFill="1" applyBorder="1" applyAlignment="1">
      <alignment horizontal="right" vertical="center"/>
    </xf>
    <xf numFmtId="0" fontId="26" fillId="0" borderId="22" xfId="0" applyFont="1" applyFill="1" applyBorder="1" applyAlignment="1">
      <alignment horizontal="center" vertical="center" wrapText="1"/>
    </xf>
    <xf numFmtId="0" fontId="26" fillId="0" borderId="22" xfId="0" applyFont="1" applyFill="1" applyBorder="1" applyAlignment="1">
      <alignment vertical="center"/>
    </xf>
    <xf numFmtId="3" fontId="34" fillId="0" borderId="22" xfId="34" applyNumberFormat="1" applyFont="1" applyFill="1" applyBorder="1" applyAlignment="1">
      <alignment vertical="center" wrapText="1"/>
    </xf>
    <xf numFmtId="165" fontId="34" fillId="0" borderId="22" xfId="34" applyNumberFormat="1" applyFont="1" applyFill="1" applyBorder="1" applyAlignment="1">
      <alignment vertical="center" wrapText="1"/>
    </xf>
    <xf numFmtId="168" fontId="34" fillId="0" borderId="22" xfId="31" applyNumberFormat="1" applyFont="1" applyFill="1" applyBorder="1" applyAlignment="1">
      <alignment vertical="center" wrapText="1"/>
    </xf>
    <xf numFmtId="0" fontId="9" fillId="0" borderId="22" xfId="0" applyFont="1" applyFill="1" applyBorder="1" applyAlignment="1">
      <alignment horizontal="right" vertical="center"/>
    </xf>
    <xf numFmtId="0" fontId="36" fillId="0" borderId="22" xfId="0" applyFont="1" applyFill="1" applyBorder="1" applyAlignment="1">
      <alignment horizontal="left" wrapText="1"/>
    </xf>
    <xf numFmtId="0" fontId="36" fillId="0" borderId="22" xfId="0" applyFont="1" applyFill="1" applyBorder="1" applyAlignment="1">
      <alignment vertical="center"/>
    </xf>
    <xf numFmtId="3" fontId="35" fillId="0" borderId="22" xfId="0" applyNumberFormat="1" applyFont="1" applyFill="1" applyBorder="1" applyAlignment="1">
      <alignment vertical="center"/>
    </xf>
    <xf numFmtId="165" fontId="35" fillId="0" borderId="22" xfId="0" applyNumberFormat="1" applyFont="1" applyFill="1" applyBorder="1" applyAlignment="1"/>
    <xf numFmtId="43" fontId="9" fillId="0" borderId="22" xfId="0" applyNumberFormat="1" applyFont="1" applyFill="1" applyBorder="1" applyAlignment="1"/>
    <xf numFmtId="0" fontId="36" fillId="0" borderId="22" xfId="0" applyFont="1" applyFill="1" applyBorder="1" applyAlignment="1">
      <alignment horizontal="left" vertical="center" wrapText="1"/>
    </xf>
    <xf numFmtId="0" fontId="35" fillId="0" borderId="22" xfId="0" applyFont="1" applyFill="1" applyBorder="1" applyAlignment="1">
      <alignment horizontal="right" vertical="center"/>
    </xf>
    <xf numFmtId="4" fontId="35" fillId="0" borderId="22" xfId="0" applyNumberFormat="1" applyFont="1" applyFill="1" applyBorder="1" applyAlignment="1"/>
    <xf numFmtId="3" fontId="35" fillId="0" borderId="22" xfId="0" applyNumberFormat="1" applyFont="1" applyFill="1" applyBorder="1" applyAlignment="1"/>
    <xf numFmtId="43" fontId="35" fillId="0" borderId="22" xfId="4" applyNumberFormat="1" applyFont="1" applyFill="1" applyBorder="1" applyAlignment="1"/>
    <xf numFmtId="0" fontId="34" fillId="0" borderId="22" xfId="0" applyFont="1" applyFill="1" applyBorder="1" applyAlignment="1">
      <alignment horizontal="left" wrapText="1"/>
    </xf>
    <xf numFmtId="0" fontId="35" fillId="0" borderId="22" xfId="0" applyFont="1" applyFill="1" applyBorder="1" applyAlignment="1">
      <alignment horizontal="left" wrapText="1"/>
    </xf>
    <xf numFmtId="0" fontId="8" fillId="0" borderId="22" xfId="0" applyFont="1" applyFill="1" applyBorder="1" applyAlignment="1">
      <alignment horizontal="right" vertical="center"/>
    </xf>
    <xf numFmtId="43" fontId="35" fillId="0" borderId="22" xfId="4" applyFont="1" applyFill="1" applyBorder="1" applyAlignment="1"/>
    <xf numFmtId="0" fontId="37" fillId="0" borderId="22" xfId="0" applyFont="1" applyFill="1" applyBorder="1" applyAlignment="1">
      <alignment horizontal="left" wrapText="1"/>
    </xf>
    <xf numFmtId="3" fontId="9" fillId="0" borderId="22" xfId="0" applyNumberFormat="1" applyFont="1" applyFill="1" applyBorder="1" applyAlignment="1"/>
    <xf numFmtId="168" fontId="9" fillId="0" borderId="22" xfId="31" applyNumberFormat="1" applyFont="1" applyFill="1" applyBorder="1" applyAlignment="1"/>
    <xf numFmtId="2" fontId="35" fillId="0" borderId="22" xfId="0" applyNumberFormat="1" applyFont="1" applyFill="1" applyBorder="1" applyAlignment="1">
      <alignment horizontal="right" vertical="center"/>
    </xf>
    <xf numFmtId="0" fontId="34" fillId="0" borderId="22" xfId="0" applyFont="1" applyFill="1" applyBorder="1" applyAlignment="1">
      <alignment horizontal="right" vertical="center"/>
    </xf>
    <xf numFmtId="3" fontId="34" fillId="0" borderId="22" xfId="0" applyNumberFormat="1" applyFont="1" applyFill="1" applyBorder="1" applyAlignment="1"/>
    <xf numFmtId="165" fontId="34" fillId="0" borderId="22" xfId="0" applyNumberFormat="1" applyFont="1" applyFill="1" applyBorder="1" applyAlignment="1"/>
    <xf numFmtId="43" fontId="34" fillId="0" borderId="22" xfId="4" applyNumberFormat="1" applyFont="1" applyFill="1" applyBorder="1" applyAlignment="1"/>
    <xf numFmtId="0" fontId="27" fillId="4" borderId="22" xfId="0" applyFont="1" applyFill="1" applyBorder="1" applyAlignment="1">
      <alignment horizontal="right" vertical="center"/>
    </xf>
    <xf numFmtId="0" fontId="28" fillId="4" borderId="22" xfId="0" applyFont="1" applyFill="1" applyBorder="1" applyAlignment="1">
      <alignment horizontal="right" vertical="center"/>
    </xf>
    <xf numFmtId="0" fontId="28" fillId="4" borderId="22" xfId="0" applyFont="1" applyFill="1" applyBorder="1" applyAlignment="1">
      <alignment horizontal="left" wrapText="1"/>
    </xf>
    <xf numFmtId="4" fontId="28" fillId="4" borderId="22" xfId="0" applyNumberFormat="1" applyFont="1" applyFill="1" applyBorder="1" applyAlignment="1"/>
    <xf numFmtId="3" fontId="28" fillId="4" borderId="22" xfId="0" applyNumberFormat="1" applyFont="1" applyFill="1" applyBorder="1" applyAlignment="1"/>
    <xf numFmtId="165" fontId="28" fillId="4" borderId="22" xfId="0" applyNumberFormat="1" applyFont="1" applyFill="1" applyBorder="1" applyAlignment="1"/>
    <xf numFmtId="43" fontId="28" fillId="4" borderId="22" xfId="31" applyFont="1" applyFill="1" applyBorder="1" applyAlignment="1"/>
    <xf numFmtId="0" fontId="36" fillId="4" borderId="22" xfId="0" applyFont="1" applyFill="1" applyBorder="1" applyAlignment="1">
      <alignment horizontal="left" wrapText="1"/>
    </xf>
    <xf numFmtId="165" fontId="35" fillId="4" borderId="22" xfId="0" applyNumberFormat="1" applyFont="1" applyFill="1" applyBorder="1" applyAlignment="1"/>
    <xf numFmtId="1" fontId="47" fillId="4" borderId="22" xfId="0" applyNumberFormat="1" applyFont="1" applyFill="1" applyBorder="1" applyAlignment="1">
      <alignment vertical="top" wrapText="1"/>
    </xf>
    <xf numFmtId="43" fontId="47" fillId="4" borderId="22" xfId="31" applyFont="1" applyFill="1" applyBorder="1" applyAlignment="1">
      <alignment vertical="top" wrapText="1"/>
    </xf>
    <xf numFmtId="0" fontId="46" fillId="4" borderId="22" xfId="0" applyFont="1" applyFill="1" applyBorder="1" applyAlignment="1">
      <alignment wrapText="1"/>
    </xf>
    <xf numFmtId="0" fontId="47" fillId="4" borderId="22" xfId="0" applyNumberFormat="1" applyFont="1" applyFill="1" applyBorder="1" applyAlignment="1">
      <alignment horizontal="right" vertical="center" wrapText="1"/>
    </xf>
    <xf numFmtId="0" fontId="47" fillId="4" borderId="22" xfId="0" applyNumberFormat="1" applyFont="1" applyFill="1" applyBorder="1" applyAlignment="1">
      <alignment vertical="top" wrapText="1"/>
    </xf>
    <xf numFmtId="0" fontId="46" fillId="4" borderId="22" xfId="0" applyNumberFormat="1" applyFont="1" applyFill="1" applyBorder="1" applyAlignment="1">
      <alignment vertical="top" wrapText="1"/>
    </xf>
    <xf numFmtId="1" fontId="46" fillId="4" borderId="22" xfId="0" applyNumberFormat="1" applyFont="1" applyFill="1" applyBorder="1" applyAlignment="1">
      <alignment vertical="top" wrapText="1"/>
    </xf>
    <xf numFmtId="43" fontId="46" fillId="4" borderId="22" xfId="31" applyFont="1" applyFill="1" applyBorder="1" applyAlignment="1">
      <alignment vertical="top" wrapText="1"/>
    </xf>
    <xf numFmtId="0" fontId="47" fillId="4" borderId="22" xfId="0" applyFont="1" applyFill="1" applyBorder="1" applyAlignment="1">
      <alignment wrapText="1"/>
    </xf>
    <xf numFmtId="43" fontId="47" fillId="4" borderId="22" xfId="31" applyFont="1" applyFill="1" applyBorder="1" applyAlignment="1">
      <alignment wrapText="1"/>
    </xf>
    <xf numFmtId="0" fontId="48" fillId="4" borderId="22" xfId="0" applyFont="1" applyFill="1" applyBorder="1" applyAlignment="1">
      <alignment wrapText="1"/>
    </xf>
    <xf numFmtId="0" fontId="26" fillId="4" borderId="22" xfId="0" applyFont="1" applyFill="1" applyBorder="1" applyAlignment="1">
      <alignment horizontal="right" vertical="center"/>
    </xf>
    <xf numFmtId="43" fontId="48" fillId="4" borderId="22" xfId="31" applyFont="1" applyFill="1" applyBorder="1" applyAlignment="1">
      <alignment vertical="center"/>
    </xf>
    <xf numFmtId="43" fontId="49" fillId="4" borderId="22" xfId="31" applyFont="1" applyFill="1" applyBorder="1" applyAlignment="1">
      <alignment vertical="center"/>
    </xf>
    <xf numFmtId="1" fontId="46" fillId="4" borderId="22" xfId="0" applyNumberFormat="1" applyFont="1" applyFill="1" applyBorder="1" applyAlignment="1">
      <alignment horizontal="right" vertical="center" wrapText="1"/>
    </xf>
    <xf numFmtId="0" fontId="47" fillId="4" borderId="22" xfId="0" applyFont="1" applyFill="1" applyBorder="1" applyAlignment="1"/>
    <xf numFmtId="0" fontId="54" fillId="4" borderId="22" xfId="0" applyFont="1" applyFill="1" applyBorder="1" applyAlignment="1">
      <alignment wrapText="1"/>
    </xf>
    <xf numFmtId="0" fontId="54" fillId="4" borderId="22" xfId="0" applyFont="1" applyFill="1" applyBorder="1" applyAlignment="1"/>
    <xf numFmtId="43" fontId="54" fillId="4" borderId="22" xfId="31" applyFont="1" applyFill="1" applyBorder="1" applyAlignment="1">
      <alignment vertical="center"/>
    </xf>
    <xf numFmtId="0" fontId="47" fillId="4" borderId="22" xfId="0" applyFont="1" applyFill="1" applyBorder="1" applyAlignment="1">
      <alignment horizontal="right" vertical="center"/>
    </xf>
    <xf numFmtId="0" fontId="49" fillId="4" borderId="22" xfId="0" applyFont="1" applyFill="1" applyBorder="1" applyAlignment="1">
      <alignment horizontal="right" vertical="center"/>
    </xf>
    <xf numFmtId="0" fontId="50" fillId="4" borderId="22" xfId="0" applyFont="1" applyFill="1" applyBorder="1" applyAlignment="1">
      <alignment vertical="center" wrapText="1"/>
    </xf>
    <xf numFmtId="0" fontId="49" fillId="4" borderId="22" xfId="0" applyFont="1" applyFill="1" applyBorder="1" applyAlignment="1">
      <alignment vertical="center"/>
    </xf>
    <xf numFmtId="0" fontId="49" fillId="4" borderId="22" xfId="0" applyFont="1" applyFill="1" applyBorder="1" applyAlignment="1">
      <alignment vertical="center" wrapText="1"/>
    </xf>
    <xf numFmtId="3" fontId="49" fillId="4" borderId="22" xfId="0" applyNumberFormat="1" applyFont="1" applyFill="1" applyBorder="1" applyAlignment="1">
      <alignment vertical="center"/>
    </xf>
    <xf numFmtId="0" fontId="48" fillId="4" borderId="22" xfId="0" applyFont="1" applyFill="1" applyBorder="1" applyAlignment="1">
      <alignment horizontal="right" vertical="center"/>
    </xf>
    <xf numFmtId="0" fontId="48" fillId="4" borderId="22" xfId="0" applyFont="1" applyFill="1" applyBorder="1" applyAlignment="1">
      <alignment vertical="center" wrapText="1"/>
    </xf>
    <xf numFmtId="0" fontId="48" fillId="4" borderId="22" xfId="0" applyFont="1" applyFill="1" applyBorder="1" applyAlignment="1">
      <alignment vertical="center"/>
    </xf>
    <xf numFmtId="4" fontId="53" fillId="4" borderId="22" xfId="0" applyNumberFormat="1" applyFont="1" applyFill="1" applyBorder="1" applyAlignment="1">
      <alignment horizontal="left" wrapText="1"/>
    </xf>
    <xf numFmtId="4" fontId="54" fillId="4" borderId="22" xfId="0" applyNumberFormat="1" applyFont="1" applyFill="1" applyBorder="1" applyAlignment="1"/>
    <xf numFmtId="165" fontId="54" fillId="4" borderId="22" xfId="0" applyNumberFormat="1" applyFont="1" applyFill="1" applyBorder="1" applyAlignment="1"/>
    <xf numFmtId="43" fontId="52" fillId="4" borderId="22" xfId="31" applyFont="1" applyFill="1" applyBorder="1" applyAlignment="1"/>
    <xf numFmtId="0" fontId="52" fillId="4" borderId="22" xfId="0" applyFont="1" applyFill="1" applyBorder="1" applyAlignment="1">
      <alignment horizontal="right" vertical="center"/>
    </xf>
    <xf numFmtId="4" fontId="55" fillId="4" borderId="22" xfId="0" applyNumberFormat="1" applyFont="1" applyFill="1" applyBorder="1" applyAlignment="1">
      <alignment horizontal="left" wrapText="1"/>
    </xf>
    <xf numFmtId="3" fontId="53" fillId="4" borderId="22" xfId="0" applyNumberFormat="1" applyFont="1" applyFill="1" applyBorder="1" applyAlignment="1"/>
    <xf numFmtId="165" fontId="53" fillId="4" borderId="22" xfId="0" applyNumberFormat="1" applyFont="1" applyFill="1" applyBorder="1" applyAlignment="1"/>
    <xf numFmtId="4" fontId="53" fillId="4" borderId="22" xfId="0" applyNumberFormat="1" applyFont="1" applyFill="1" applyBorder="1" applyAlignment="1"/>
    <xf numFmtId="43" fontId="54" fillId="4" borderId="22" xfId="31" applyFont="1" applyFill="1" applyBorder="1" applyAlignment="1"/>
    <xf numFmtId="3" fontId="54" fillId="4" borderId="22" xfId="0" applyNumberFormat="1" applyFont="1" applyFill="1" applyBorder="1" applyAlignment="1"/>
    <xf numFmtId="3" fontId="54" fillId="4" borderId="22" xfId="0" applyNumberFormat="1" applyFont="1" applyFill="1" applyBorder="1" applyAlignment="1">
      <alignment horizontal="left" wrapText="1"/>
    </xf>
    <xf numFmtId="3" fontId="53" fillId="4" borderId="22" xfId="0" applyNumberFormat="1" applyFont="1" applyFill="1" applyBorder="1" applyAlignment="1">
      <alignment horizontal="left" wrapText="1"/>
    </xf>
    <xf numFmtId="4" fontId="54" fillId="4" borderId="22" xfId="0" applyNumberFormat="1" applyFont="1" applyFill="1" applyBorder="1" applyAlignment="1">
      <alignment horizontal="left" wrapText="1"/>
    </xf>
    <xf numFmtId="0" fontId="54" fillId="4" borderId="22" xfId="0" applyFont="1" applyFill="1" applyBorder="1" applyAlignment="1">
      <alignment horizontal="right" vertical="center"/>
    </xf>
    <xf numFmtId="0" fontId="52" fillId="4" borderId="22" xfId="0" applyFont="1" applyFill="1" applyBorder="1" applyAlignment="1">
      <alignment horizontal="left" wrapText="1"/>
    </xf>
    <xf numFmtId="0" fontId="52" fillId="4" borderId="22" xfId="0" applyFont="1" applyFill="1" applyBorder="1" applyAlignment="1"/>
    <xf numFmtId="165" fontId="52" fillId="4" borderId="22" xfId="0" applyNumberFormat="1" applyFont="1" applyFill="1" applyBorder="1" applyAlignment="1"/>
    <xf numFmtId="4" fontId="52" fillId="4" borderId="22" xfId="0" applyNumberFormat="1" applyFont="1" applyFill="1" applyBorder="1" applyAlignment="1"/>
    <xf numFmtId="43" fontId="53" fillId="4" borderId="22" xfId="31" applyFont="1" applyFill="1" applyBorder="1" applyAlignment="1"/>
    <xf numFmtId="0" fontId="27" fillId="4" borderId="22" xfId="0" applyFont="1" applyFill="1" applyBorder="1" applyAlignment="1">
      <alignment horizontal="right" vertical="center" wrapText="1"/>
    </xf>
    <xf numFmtId="4" fontId="54" fillId="4" borderId="22" xfId="0" applyNumberFormat="1" applyFont="1" applyFill="1" applyBorder="1" applyAlignment="1">
      <alignment wrapText="1"/>
    </xf>
    <xf numFmtId="165" fontId="54" fillId="4" borderId="22" xfId="0" applyNumberFormat="1" applyFont="1" applyFill="1" applyBorder="1" applyAlignment="1">
      <alignment wrapText="1"/>
    </xf>
    <xf numFmtId="43" fontId="52" fillId="4" borderId="22" xfId="31" applyFont="1" applyFill="1" applyBorder="1" applyAlignment="1">
      <alignment wrapText="1"/>
    </xf>
    <xf numFmtId="0" fontId="29" fillId="4" borderId="22" xfId="0" applyFont="1" applyFill="1" applyBorder="1" applyAlignment="1">
      <alignment horizontal="right" vertical="center" wrapText="1"/>
    </xf>
    <xf numFmtId="43" fontId="54" fillId="4" borderId="22" xfId="31" applyFont="1" applyFill="1" applyBorder="1" applyAlignment="1">
      <alignment wrapText="1"/>
    </xf>
    <xf numFmtId="4" fontId="49" fillId="4" borderId="22" xfId="0" applyNumberFormat="1" applyFont="1" applyFill="1" applyBorder="1" applyAlignment="1">
      <alignment horizontal="left" wrapText="1"/>
    </xf>
    <xf numFmtId="4" fontId="49" fillId="4" borderId="22" xfId="0" applyNumberFormat="1" applyFont="1" applyFill="1" applyBorder="1" applyAlignment="1">
      <alignment wrapText="1"/>
    </xf>
    <xf numFmtId="165" fontId="49" fillId="4" borderId="22" xfId="0" applyNumberFormat="1" applyFont="1" applyFill="1" applyBorder="1" applyAlignment="1">
      <alignment wrapText="1"/>
    </xf>
    <xf numFmtId="43" fontId="49" fillId="4" borderId="22" xfId="31" applyFont="1" applyFill="1" applyBorder="1" applyAlignment="1">
      <alignment wrapText="1"/>
    </xf>
    <xf numFmtId="0" fontId="49" fillId="4" borderId="22" xfId="0" applyFont="1" applyFill="1" applyBorder="1" applyAlignment="1">
      <alignment horizontal="right" vertical="center" wrapText="1"/>
    </xf>
    <xf numFmtId="0" fontId="49" fillId="4" borderId="22" xfId="0" applyFont="1" applyFill="1" applyBorder="1" applyAlignment="1">
      <alignment horizontal="left" wrapText="1"/>
    </xf>
    <xf numFmtId="0" fontId="49" fillId="4" borderId="22" xfId="0" applyFont="1" applyFill="1" applyBorder="1" applyAlignment="1">
      <alignment wrapText="1"/>
    </xf>
    <xf numFmtId="0" fontId="6" fillId="4" borderId="22" xfId="0" applyFont="1" applyFill="1" applyBorder="1" applyAlignment="1">
      <alignment horizontal="right" vertical="center" wrapText="1"/>
    </xf>
    <xf numFmtId="0" fontId="6" fillId="4" borderId="22" xfId="0" applyFont="1" applyFill="1" applyBorder="1" applyAlignment="1">
      <alignment horizontal="left" wrapText="1"/>
    </xf>
    <xf numFmtId="4" fontId="6" fillId="4" borderId="22" xfId="0" applyNumberFormat="1" applyFont="1" applyFill="1" applyBorder="1" applyAlignment="1">
      <alignment wrapText="1"/>
    </xf>
    <xf numFmtId="3" fontId="6" fillId="4" borderId="22" xfId="0" applyNumberFormat="1" applyFont="1" applyFill="1" applyBorder="1" applyAlignment="1">
      <alignment wrapText="1"/>
    </xf>
    <xf numFmtId="165" fontId="6" fillId="4" borderId="22" xfId="0" applyNumberFormat="1" applyFont="1" applyFill="1" applyBorder="1" applyAlignment="1">
      <alignment wrapText="1"/>
    </xf>
    <xf numFmtId="0" fontId="6" fillId="4" borderId="22" xfId="0" applyFont="1" applyFill="1" applyBorder="1" applyAlignment="1">
      <alignment wrapText="1"/>
    </xf>
    <xf numFmtId="0" fontId="48" fillId="4" borderId="22" xfId="0" applyFont="1" applyFill="1" applyBorder="1" applyAlignment="1">
      <alignment horizontal="left" wrapText="1"/>
    </xf>
    <xf numFmtId="43" fontId="50" fillId="4" borderId="22" xfId="31" applyFont="1" applyFill="1" applyBorder="1" applyAlignment="1"/>
    <xf numFmtId="43" fontId="6" fillId="4" borderId="22" xfId="31" applyFont="1" applyFill="1" applyBorder="1" applyAlignment="1">
      <alignment wrapText="1"/>
    </xf>
    <xf numFmtId="0" fontId="6" fillId="0" borderId="22" xfId="0" applyFont="1" applyBorder="1" applyAlignment="1">
      <alignment vertical="center" wrapText="1"/>
    </xf>
    <xf numFmtId="0" fontId="6" fillId="0" borderId="22" xfId="0" applyFont="1" applyBorder="1" applyAlignment="1">
      <alignment wrapText="1"/>
    </xf>
    <xf numFmtId="0" fontId="6" fillId="4" borderId="22" xfId="0" applyFont="1" applyFill="1" applyBorder="1" applyAlignment="1">
      <alignment horizontal="right" vertical="center"/>
    </xf>
    <xf numFmtId="0" fontId="6" fillId="4" borderId="22" xfId="0" applyFont="1" applyFill="1" applyBorder="1" applyAlignment="1"/>
    <xf numFmtId="43" fontId="6" fillId="4" borderId="22" xfId="31" applyFont="1" applyFill="1" applyBorder="1" applyAlignment="1"/>
    <xf numFmtId="0" fontId="26" fillId="4" borderId="22" xfId="0" applyFont="1" applyFill="1" applyBorder="1" applyAlignment="1">
      <alignment wrapText="1"/>
    </xf>
    <xf numFmtId="0" fontId="26" fillId="4" borderId="22" xfId="0" applyFont="1" applyFill="1" applyBorder="1" applyAlignment="1"/>
    <xf numFmtId="43" fontId="26" fillId="4" borderId="22" xfId="31" applyFont="1" applyFill="1" applyBorder="1" applyAlignment="1"/>
    <xf numFmtId="0" fontId="35" fillId="4" borderId="22" xfId="0" applyFont="1" applyFill="1" applyBorder="1" applyAlignment="1">
      <alignment horizontal="right" vertical="center" wrapText="1"/>
    </xf>
    <xf numFmtId="0" fontId="35" fillId="4" borderId="22" xfId="0" applyFont="1" applyFill="1" applyBorder="1" applyAlignment="1">
      <alignment horizontal="center" vertical="center" wrapText="1"/>
    </xf>
    <xf numFmtId="3" fontId="35" fillId="4" borderId="22" xfId="34" applyNumberFormat="1" applyFont="1" applyFill="1" applyBorder="1" applyAlignment="1">
      <alignment horizontal="center" vertical="center" wrapText="1"/>
    </xf>
    <xf numFmtId="165" fontId="35" fillId="4" borderId="22" xfId="34" applyNumberFormat="1" applyFont="1" applyFill="1" applyBorder="1" applyAlignment="1">
      <alignment horizontal="center" vertical="center" wrapText="1"/>
    </xf>
    <xf numFmtId="44" fontId="35" fillId="4" borderId="22" xfId="38" applyFont="1" applyFill="1" applyBorder="1" applyAlignment="1">
      <alignment horizontal="center" vertical="center" wrapText="1"/>
    </xf>
    <xf numFmtId="0" fontId="0" fillId="0" borderId="22" xfId="0" applyFont="1" applyFill="1" applyBorder="1"/>
    <xf numFmtId="0" fontId="34" fillId="4" borderId="22" xfId="0" applyFont="1" applyFill="1" applyBorder="1" applyAlignment="1">
      <alignment horizontal="right" vertical="center" wrapText="1"/>
    </xf>
    <xf numFmtId="0" fontId="36" fillId="4" borderId="22" xfId="0" applyFont="1" applyFill="1" applyBorder="1" applyAlignment="1">
      <alignment horizontal="center" vertical="center"/>
    </xf>
    <xf numFmtId="3" fontId="34" fillId="4" borderId="22" xfId="0" applyNumberFormat="1" applyFont="1" applyFill="1" applyBorder="1" applyAlignment="1">
      <alignment horizontal="center" vertical="center"/>
    </xf>
    <xf numFmtId="165" fontId="34" fillId="4" borderId="22" xfId="0" applyNumberFormat="1" applyFont="1" applyFill="1" applyBorder="1" applyAlignment="1"/>
    <xf numFmtId="44" fontId="34" fillId="4" borderId="22" xfId="38" applyFont="1" applyFill="1" applyBorder="1" applyAlignment="1"/>
    <xf numFmtId="0" fontId="26" fillId="0" borderId="22" xfId="0" applyFont="1" applyFill="1" applyBorder="1"/>
    <xf numFmtId="0" fontId="0" fillId="0" borderId="22" xfId="0" applyFont="1" applyBorder="1"/>
    <xf numFmtId="0" fontId="37" fillId="4" borderId="22" xfId="0" applyFont="1" applyFill="1" applyBorder="1" applyAlignment="1">
      <alignment horizontal="left" wrapText="1"/>
    </xf>
    <xf numFmtId="0" fontId="37" fillId="4" borderId="22" xfId="0" applyFont="1" applyFill="1" applyBorder="1" applyAlignment="1">
      <alignment horizontal="center" vertical="center"/>
    </xf>
    <xf numFmtId="3" fontId="35" fillId="4" borderId="22" xfId="0" applyNumberFormat="1" applyFont="1" applyFill="1" applyBorder="1" applyAlignment="1">
      <alignment horizontal="center" vertical="center"/>
    </xf>
    <xf numFmtId="44" fontId="35" fillId="4" borderId="22" xfId="38" applyFont="1" applyFill="1" applyBorder="1" applyAlignment="1"/>
    <xf numFmtId="172" fontId="35" fillId="4" borderId="22" xfId="0" applyNumberFormat="1" applyFont="1" applyFill="1" applyBorder="1" applyAlignment="1">
      <alignment wrapText="1"/>
    </xf>
    <xf numFmtId="0" fontId="35" fillId="4" borderId="22" xfId="0" applyFont="1" applyFill="1" applyBorder="1"/>
    <xf numFmtId="44" fontId="35" fillId="4" borderId="22" xfId="38" applyFont="1" applyFill="1" applyBorder="1"/>
    <xf numFmtId="171" fontId="35" fillId="4" borderId="22" xfId="0" applyNumberFormat="1" applyFont="1" applyFill="1" applyBorder="1" applyAlignment="1">
      <alignment wrapText="1"/>
    </xf>
    <xf numFmtId="0" fontId="35" fillId="4" borderId="22" xfId="0" applyFont="1" applyFill="1" applyBorder="1" applyAlignment="1">
      <alignment wrapText="1"/>
    </xf>
    <xf numFmtId="0" fontId="34" fillId="4" borderId="22" xfId="0" applyFont="1" applyFill="1" applyBorder="1"/>
    <xf numFmtId="44" fontId="34" fillId="4" borderId="22" xfId="38" applyFont="1" applyFill="1" applyBorder="1"/>
    <xf numFmtId="2" fontId="34" fillId="0" borderId="22" xfId="0" applyNumberFormat="1" applyFont="1" applyFill="1" applyBorder="1" applyAlignment="1">
      <alignment horizontal="center"/>
    </xf>
    <xf numFmtId="0" fontId="34" fillId="0" borderId="22" xfId="0" applyFont="1" applyFill="1" applyBorder="1" applyAlignment="1">
      <alignment horizontal="left" vertical="center"/>
    </xf>
    <xf numFmtId="1" fontId="34" fillId="0" borderId="22" xfId="0" applyNumberFormat="1" applyFont="1" applyFill="1" applyBorder="1" applyAlignment="1">
      <alignment horizontal="center" vertical="center"/>
    </xf>
    <xf numFmtId="0" fontId="34" fillId="0" borderId="22" xfId="0" applyFont="1" applyFill="1" applyBorder="1" applyAlignment="1">
      <alignment horizontal="center" vertical="center"/>
    </xf>
    <xf numFmtId="43" fontId="34" fillId="0" borderId="22" xfId="31" applyFont="1" applyFill="1" applyBorder="1" applyAlignment="1">
      <alignment horizontal="right" vertical="center"/>
    </xf>
    <xf numFmtId="3" fontId="34" fillId="0" borderId="22" xfId="0" applyNumberFormat="1" applyFont="1" applyFill="1" applyBorder="1" applyAlignment="1">
      <alignment horizontal="center" vertical="center"/>
    </xf>
    <xf numFmtId="4" fontId="34" fillId="0" borderId="22" xfId="0" applyNumberFormat="1" applyFont="1" applyFill="1" applyBorder="1" applyAlignment="1">
      <alignment horizontal="center" vertical="center"/>
    </xf>
    <xf numFmtId="43" fontId="34" fillId="0" borderId="22" xfId="31" applyFont="1" applyFill="1" applyBorder="1" applyAlignment="1">
      <alignment horizontal="center" vertical="center"/>
    </xf>
    <xf numFmtId="172" fontId="34" fillId="4" borderId="22" xfId="0" applyNumberFormat="1" applyFont="1" applyFill="1" applyBorder="1" applyAlignment="1">
      <alignment wrapText="1"/>
    </xf>
    <xf numFmtId="43" fontId="35" fillId="0" borderId="22" xfId="4" applyFont="1" applyFill="1" applyBorder="1" applyAlignment="1">
      <alignment horizontal="right"/>
    </xf>
    <xf numFmtId="167" fontId="35" fillId="4" borderId="22" xfId="0" applyNumberFormat="1" applyFont="1" applyFill="1" applyBorder="1" applyAlignment="1">
      <alignment wrapText="1"/>
    </xf>
    <xf numFmtId="168" fontId="34" fillId="0" borderId="22" xfId="31" applyNumberFormat="1" applyFont="1" applyFill="1" applyBorder="1" applyAlignment="1">
      <alignment horizontal="center" vertical="center" wrapText="1"/>
    </xf>
    <xf numFmtId="43" fontId="26" fillId="0" borderId="22" xfId="33" applyFont="1" applyFill="1" applyBorder="1"/>
    <xf numFmtId="43" fontId="0" fillId="0" borderId="22" xfId="31" applyFont="1" applyBorder="1"/>
    <xf numFmtId="0" fontId="0" fillId="0" borderId="22" xfId="0" applyFont="1" applyFill="1" applyBorder="1" applyAlignment="1">
      <alignment wrapText="1"/>
    </xf>
    <xf numFmtId="0" fontId="0" fillId="0" borderId="22" xfId="0" applyFont="1" applyFill="1" applyBorder="1" applyAlignment="1">
      <alignment horizontal="center" vertical="center"/>
    </xf>
    <xf numFmtId="0" fontId="35" fillId="0" borderId="22" xfId="16" applyFont="1" applyFill="1" applyBorder="1" applyAlignment="1">
      <alignment horizontal="left" vertical="center" wrapText="1"/>
    </xf>
    <xf numFmtId="3" fontId="0" fillId="0" borderId="22" xfId="0" applyNumberFormat="1" applyFont="1" applyFill="1" applyBorder="1" applyAlignment="1">
      <alignment horizontal="center" vertical="center"/>
    </xf>
    <xf numFmtId="4" fontId="56" fillId="0" borderId="22" xfId="0" applyNumberFormat="1" applyFont="1" applyFill="1" applyBorder="1" applyAlignment="1">
      <alignment horizontal="right" vertical="center"/>
    </xf>
    <xf numFmtId="0" fontId="38" fillId="0" borderId="3" xfId="0" applyFont="1" applyBorder="1" applyAlignment="1">
      <alignment horizontal="left" wrapText="1" indent="1"/>
    </xf>
    <xf numFmtId="1" fontId="38" fillId="0" borderId="3" xfId="0" applyNumberFormat="1" applyFont="1" applyBorder="1" applyAlignment="1">
      <alignment horizontal="center"/>
    </xf>
    <xf numFmtId="0" fontId="35" fillId="0" borderId="25" xfId="0" applyFont="1" applyFill="1" applyBorder="1" applyAlignment="1">
      <alignment horizontal="right" vertical="center"/>
    </xf>
    <xf numFmtId="0" fontId="36" fillId="0" borderId="25" xfId="0" applyFont="1" applyFill="1" applyBorder="1" applyAlignment="1">
      <alignment horizontal="left" wrapText="1"/>
    </xf>
    <xf numFmtId="4" fontId="35" fillId="0" borderId="25" xfId="0" applyNumberFormat="1" applyFont="1" applyFill="1" applyBorder="1" applyAlignment="1">
      <alignment horizontal="center"/>
    </xf>
    <xf numFmtId="3" fontId="35" fillId="0" borderId="25" xfId="0" applyNumberFormat="1" applyFont="1" applyFill="1" applyBorder="1" applyAlignment="1">
      <alignment horizontal="center"/>
    </xf>
    <xf numFmtId="165" fontId="35" fillId="0" borderId="25" xfId="0" applyNumberFormat="1" applyFont="1" applyFill="1" applyBorder="1" applyAlignment="1">
      <alignment horizontal="center"/>
    </xf>
    <xf numFmtId="43" fontId="35" fillId="0" borderId="25" xfId="4" applyNumberFormat="1" applyFont="1" applyFill="1" applyBorder="1" applyAlignment="1"/>
    <xf numFmtId="0" fontId="35" fillId="0" borderId="0" xfId="0" applyFont="1" applyFill="1" applyBorder="1" applyAlignment="1">
      <alignment horizontal="right" vertical="center"/>
    </xf>
    <xf numFmtId="165" fontId="35" fillId="0" borderId="0" xfId="0" applyNumberFormat="1" applyFont="1" applyFill="1" applyBorder="1" applyAlignment="1">
      <alignment horizontal="center"/>
    </xf>
    <xf numFmtId="43" fontId="35" fillId="0" borderId="0" xfId="4" applyNumberFormat="1" applyFont="1" applyFill="1" applyBorder="1" applyAlignment="1"/>
    <xf numFmtId="165" fontId="38" fillId="0" borderId="12" xfId="0" applyNumberFormat="1" applyFont="1" applyFill="1" applyBorder="1" applyAlignment="1">
      <alignment horizontal="center"/>
    </xf>
    <xf numFmtId="0" fontId="26" fillId="0" borderId="17" xfId="0" applyFont="1" applyFill="1" applyBorder="1" applyAlignment="1">
      <alignment horizontal="right" vertical="center"/>
    </xf>
    <xf numFmtId="0" fontId="26" fillId="0" borderId="18" xfId="0" applyFont="1" applyFill="1" applyBorder="1" applyAlignment="1">
      <alignment wrapText="1"/>
    </xf>
    <xf numFmtId="0" fontId="26" fillId="0" borderId="0" xfId="0" applyFont="1" applyFill="1" applyAlignment="1">
      <alignment wrapText="1"/>
    </xf>
    <xf numFmtId="0" fontId="0" fillId="0" borderId="18" xfId="0" applyFont="1" applyFill="1" applyBorder="1" applyAlignment="1">
      <alignment horizontal="center"/>
    </xf>
    <xf numFmtId="0" fontId="0" fillId="0" borderId="18" xfId="0" applyFont="1" applyFill="1" applyBorder="1"/>
    <xf numFmtId="43" fontId="5" fillId="0" borderId="19" xfId="31" applyFont="1" applyFill="1" applyBorder="1"/>
    <xf numFmtId="0" fontId="0" fillId="0" borderId="17" xfId="0" applyFont="1" applyFill="1" applyBorder="1" applyAlignment="1">
      <alignment horizontal="right" vertical="center"/>
    </xf>
    <xf numFmtId="0" fontId="0" fillId="0" borderId="18" xfId="0" applyFont="1" applyFill="1" applyBorder="1" applyAlignment="1">
      <alignment wrapText="1"/>
    </xf>
    <xf numFmtId="0" fontId="35" fillId="0" borderId="17" xfId="0" applyFont="1" applyFill="1" applyBorder="1" applyAlignment="1">
      <alignment horizontal="right" vertical="center"/>
    </xf>
    <xf numFmtId="0" fontId="35" fillId="0" borderId="18" xfId="0" applyFont="1" applyFill="1" applyBorder="1" applyAlignment="1">
      <alignment wrapText="1"/>
    </xf>
    <xf numFmtId="0" fontId="35" fillId="0" borderId="18" xfId="0" applyFont="1" applyFill="1" applyBorder="1" applyAlignment="1">
      <alignment horizontal="center"/>
    </xf>
    <xf numFmtId="0" fontId="35" fillId="0" borderId="18" xfId="0" applyFont="1" applyFill="1" applyBorder="1"/>
    <xf numFmtId="43" fontId="35" fillId="0" borderId="19" xfId="31" applyFont="1" applyFill="1" applyBorder="1"/>
    <xf numFmtId="0" fontId="26" fillId="0" borderId="18" xfId="0" applyFont="1" applyFill="1" applyBorder="1" applyAlignment="1">
      <alignment horizontal="center"/>
    </xf>
    <xf numFmtId="0" fontId="26" fillId="0" borderId="18" xfId="0" applyFont="1" applyFill="1" applyBorder="1"/>
    <xf numFmtId="0" fontId="35" fillId="0" borderId="18" xfId="0" applyFont="1" applyFill="1" applyBorder="1" applyAlignment="1">
      <alignment horizontal="right"/>
    </xf>
    <xf numFmtId="0" fontId="38" fillId="0" borderId="18" xfId="0" applyFont="1" applyFill="1" applyBorder="1" applyAlignment="1">
      <alignment wrapText="1"/>
    </xf>
    <xf numFmtId="0" fontId="38" fillId="0" borderId="0" xfId="0" applyFont="1" applyFill="1"/>
    <xf numFmtId="0" fontId="38" fillId="0" borderId="18" xfId="0" applyFont="1" applyFill="1" applyBorder="1" applyAlignment="1">
      <alignment horizontal="center"/>
    </xf>
    <xf numFmtId="0" fontId="34" fillId="0" borderId="17" xfId="0" applyFont="1" applyFill="1" applyBorder="1" applyAlignment="1">
      <alignment horizontal="right" vertical="center"/>
    </xf>
    <xf numFmtId="0" fontId="34" fillId="0" borderId="18" xfId="0" applyFont="1" applyFill="1" applyBorder="1" applyAlignment="1">
      <alignment wrapText="1"/>
    </xf>
    <xf numFmtId="0" fontId="34" fillId="0" borderId="0" xfId="0" applyFont="1" applyFill="1"/>
    <xf numFmtId="0" fontId="34" fillId="0" borderId="18" xfId="0" applyFont="1" applyFill="1" applyBorder="1" applyAlignment="1">
      <alignment horizontal="center"/>
    </xf>
    <xf numFmtId="43" fontId="34" fillId="0" borderId="19" xfId="31" applyFont="1" applyFill="1" applyBorder="1"/>
    <xf numFmtId="2" fontId="35" fillId="0" borderId="17" xfId="0" quotePrefix="1" applyNumberFormat="1" applyFont="1" applyFill="1" applyBorder="1" applyAlignment="1">
      <alignment horizontal="right" vertical="center"/>
    </xf>
    <xf numFmtId="43" fontId="26" fillId="0" borderId="26" xfId="31" applyFont="1" applyFill="1" applyBorder="1"/>
    <xf numFmtId="0" fontId="0" fillId="0" borderId="0" xfId="0" applyFont="1" applyFill="1" applyAlignment="1">
      <alignment horizontal="right" vertical="center"/>
    </xf>
    <xf numFmtId="0" fontId="0" fillId="0" borderId="0" xfId="0" applyFont="1" applyFill="1" applyAlignment="1">
      <alignment wrapText="1"/>
    </xf>
    <xf numFmtId="0" fontId="0" fillId="0" borderId="0" xfId="0" applyFont="1" applyFill="1" applyAlignment="1">
      <alignment horizontal="center"/>
    </xf>
    <xf numFmtId="0" fontId="0" fillId="0" borderId="0" xfId="0" applyFont="1" applyFill="1"/>
    <xf numFmtId="43" fontId="5" fillId="0" borderId="0" xfId="31" applyFont="1" applyFill="1"/>
    <xf numFmtId="0" fontId="47" fillId="4" borderId="27" xfId="0" applyNumberFormat="1" applyFont="1" applyFill="1" applyBorder="1" applyAlignment="1">
      <alignment horizontal="right" vertical="center" wrapText="1"/>
    </xf>
    <xf numFmtId="0" fontId="47" fillId="4" borderId="27" xfId="0" applyFont="1" applyFill="1" applyBorder="1" applyAlignment="1">
      <alignment wrapText="1"/>
    </xf>
    <xf numFmtId="43" fontId="47" fillId="4" borderId="27" xfId="31" applyFont="1" applyFill="1" applyBorder="1" applyAlignment="1">
      <alignment horizontal="right" vertical="top" wrapText="1"/>
    </xf>
    <xf numFmtId="0" fontId="54" fillId="4" borderId="28" xfId="0" applyFont="1" applyFill="1" applyBorder="1" applyAlignment="1">
      <alignment horizontal="right" vertical="center"/>
    </xf>
    <xf numFmtId="0" fontId="54" fillId="4" borderId="0" xfId="0" applyFont="1" applyFill="1" applyBorder="1" applyAlignment="1">
      <alignment horizontal="left" wrapText="1"/>
    </xf>
    <xf numFmtId="0" fontId="54" fillId="4" borderId="28" xfId="0" applyFont="1" applyFill="1" applyBorder="1" applyAlignment="1">
      <alignment horizontal="center"/>
    </xf>
    <xf numFmtId="165" fontId="54" fillId="4" borderId="28" xfId="0" applyNumberFormat="1" applyFont="1" applyFill="1" applyBorder="1" applyAlignment="1">
      <alignment horizontal="center"/>
    </xf>
    <xf numFmtId="4" fontId="54" fillId="4" borderId="28" xfId="0" applyNumberFormat="1" applyFont="1" applyFill="1" applyBorder="1" applyAlignment="1">
      <alignment horizontal="center"/>
    </xf>
    <xf numFmtId="43" fontId="54" fillId="4" borderId="28" xfId="31" applyFont="1" applyFill="1" applyBorder="1" applyAlignment="1">
      <alignment horizontal="right" indent="1"/>
    </xf>
    <xf numFmtId="0" fontId="26" fillId="3" borderId="15" xfId="19" applyFont="1" applyFill="1" applyBorder="1" applyAlignment="1">
      <alignment horizontal="right" vertical="center"/>
    </xf>
    <xf numFmtId="0" fontId="26" fillId="3" borderId="15" xfId="19" applyFont="1" applyFill="1" applyBorder="1" applyAlignment="1">
      <alignment horizontal="center" vertical="center" wrapText="1"/>
    </xf>
    <xf numFmtId="0" fontId="26" fillId="3" borderId="15" xfId="19" applyFont="1" applyFill="1" applyBorder="1" applyAlignment="1">
      <alignment horizontal="center" vertical="center"/>
    </xf>
    <xf numFmtId="3" fontId="34" fillId="3" borderId="15" xfId="34" applyNumberFormat="1" applyFont="1" applyFill="1" applyBorder="1" applyAlignment="1">
      <alignment horizontal="center" vertical="center" wrapText="1"/>
    </xf>
    <xf numFmtId="165" fontId="34" fillId="3" borderId="15" xfId="34" applyNumberFormat="1" applyFont="1" applyFill="1" applyBorder="1" applyAlignment="1">
      <alignment horizontal="center" vertical="center" wrapText="1"/>
    </xf>
    <xf numFmtId="43" fontId="34" fillId="3" borderId="15" xfId="33" applyFont="1" applyFill="1" applyBorder="1" applyAlignment="1">
      <alignment horizontal="center" vertical="center" wrapText="1"/>
    </xf>
    <xf numFmtId="0" fontId="26" fillId="3" borderId="8" xfId="0" applyFont="1" applyFill="1" applyBorder="1" applyAlignment="1">
      <alignment horizontal="right" vertical="center"/>
    </xf>
    <xf numFmtId="0" fontId="26" fillId="3" borderId="8" xfId="0" applyFont="1" applyFill="1" applyBorder="1" applyAlignment="1">
      <alignment horizontal="center" vertical="center" wrapText="1"/>
    </xf>
    <xf numFmtId="0" fontId="26" fillId="3" borderId="8" xfId="0" applyFont="1" applyFill="1" applyBorder="1" applyAlignment="1">
      <alignment horizontal="center" vertical="center"/>
    </xf>
    <xf numFmtId="3" fontId="34" fillId="3" borderId="8" xfId="34" applyNumberFormat="1" applyFont="1" applyFill="1" applyBorder="1" applyAlignment="1">
      <alignment horizontal="center" vertical="center" wrapText="1"/>
    </xf>
    <xf numFmtId="165" fontId="34" fillId="3" borderId="8" xfId="34" applyNumberFormat="1" applyFont="1" applyFill="1" applyBorder="1" applyAlignment="1">
      <alignment horizontal="center" vertical="center" wrapText="1"/>
    </xf>
    <xf numFmtId="168" fontId="34" fillId="3" borderId="8" xfId="31" applyNumberFormat="1" applyFont="1" applyFill="1" applyBorder="1" applyAlignment="1">
      <alignment horizontal="center" vertical="center" wrapText="1"/>
    </xf>
    <xf numFmtId="0" fontId="27" fillId="3" borderId="14" xfId="0" applyFont="1" applyFill="1" applyBorder="1" applyAlignment="1">
      <alignment horizontal="right" vertical="center"/>
    </xf>
    <xf numFmtId="0" fontId="27" fillId="3" borderId="14" xfId="0" applyFont="1" applyFill="1" applyBorder="1" applyAlignment="1">
      <alignment horizontal="center" vertical="center" wrapText="1"/>
    </xf>
    <xf numFmtId="0" fontId="27" fillId="3" borderId="14" xfId="0" applyFont="1" applyFill="1" applyBorder="1" applyAlignment="1">
      <alignment horizontal="center" vertical="center"/>
    </xf>
    <xf numFmtId="3" fontId="28" fillId="3" borderId="14" xfId="34" applyNumberFormat="1" applyFont="1" applyFill="1" applyBorder="1" applyAlignment="1">
      <alignment horizontal="center" vertical="center" wrapText="1"/>
    </xf>
    <xf numFmtId="165" fontId="28" fillId="3" borderId="14" xfId="34" applyNumberFormat="1" applyFont="1" applyFill="1" applyBorder="1" applyAlignment="1">
      <alignment horizontal="center" vertical="center" wrapText="1"/>
    </xf>
    <xf numFmtId="43" fontId="28" fillId="3" borderId="14" xfId="31" applyFont="1" applyFill="1" applyBorder="1" applyAlignment="1">
      <alignment horizontal="center" vertical="center" wrapText="1"/>
    </xf>
    <xf numFmtId="4" fontId="35" fillId="4" borderId="15" xfId="0" applyNumberFormat="1" applyFont="1" applyFill="1" applyBorder="1"/>
    <xf numFmtId="0" fontId="52" fillId="4" borderId="25" xfId="0" applyFont="1" applyFill="1" applyBorder="1" applyAlignment="1">
      <alignment horizontal="right" vertical="center"/>
    </xf>
    <xf numFmtId="0" fontId="52" fillId="4" borderId="25" xfId="0" applyFont="1" applyFill="1" applyBorder="1" applyAlignment="1">
      <alignment horizontal="center"/>
    </xf>
    <xf numFmtId="165" fontId="52" fillId="4" borderId="25" xfId="0" applyNumberFormat="1" applyFont="1" applyFill="1" applyBorder="1" applyAlignment="1">
      <alignment horizontal="center"/>
    </xf>
    <xf numFmtId="4" fontId="52" fillId="4" borderId="25" xfId="0" applyNumberFormat="1" applyFont="1" applyFill="1" applyBorder="1" applyAlignment="1">
      <alignment horizontal="center"/>
    </xf>
    <xf numFmtId="43" fontId="26" fillId="0" borderId="29" xfId="31" applyFont="1" applyFill="1" applyBorder="1"/>
    <xf numFmtId="0" fontId="47" fillId="4" borderId="30" xfId="0" applyFont="1" applyFill="1" applyBorder="1" applyAlignment="1">
      <alignment horizontal="right" vertical="center" wrapText="1"/>
    </xf>
    <xf numFmtId="0" fontId="47" fillId="4" borderId="30" xfId="0" applyFont="1" applyFill="1" applyBorder="1" applyAlignment="1">
      <alignment wrapText="1"/>
    </xf>
    <xf numFmtId="43" fontId="49" fillId="4" borderId="30" xfId="31" applyFont="1" applyFill="1" applyBorder="1" applyAlignment="1">
      <alignment horizontal="right" vertical="center"/>
    </xf>
    <xf numFmtId="2" fontId="47" fillId="4" borderId="30" xfId="0" applyNumberFormat="1" applyFont="1" applyFill="1" applyBorder="1" applyAlignment="1">
      <alignment horizontal="right" vertical="center" wrapText="1"/>
    </xf>
    <xf numFmtId="0" fontId="54" fillId="4" borderId="31" xfId="27" applyFont="1" applyFill="1" applyBorder="1" applyAlignment="1">
      <alignment horizontal="right" vertical="center"/>
    </xf>
    <xf numFmtId="3" fontId="54" fillId="4" borderId="31" xfId="19" applyNumberFormat="1" applyFont="1" applyFill="1" applyBorder="1" applyAlignment="1">
      <alignment horizontal="left" wrapText="1"/>
    </xf>
    <xf numFmtId="3" fontId="54" fillId="4" borderId="31" xfId="19" applyNumberFormat="1" applyFont="1" applyFill="1" applyBorder="1" applyAlignment="1">
      <alignment horizontal="center"/>
    </xf>
    <xf numFmtId="4" fontId="54" fillId="4" borderId="31" xfId="19" applyNumberFormat="1" applyFont="1" applyFill="1" applyBorder="1" applyAlignment="1">
      <alignment horizontal="center"/>
    </xf>
    <xf numFmtId="4" fontId="54" fillId="4" borderId="31" xfId="19" applyNumberFormat="1" applyFont="1" applyFill="1" applyBorder="1" applyAlignment="1">
      <alignment horizontal="left" wrapText="1"/>
    </xf>
    <xf numFmtId="4" fontId="54" fillId="4" borderId="18" xfId="19" applyNumberFormat="1" applyFont="1" applyFill="1" applyBorder="1" applyAlignment="1">
      <alignment horizontal="left" wrapText="1"/>
    </xf>
    <xf numFmtId="0" fontId="54" fillId="4" borderId="18" xfId="27" applyFont="1" applyFill="1" applyBorder="1" applyAlignment="1">
      <alignment horizontal="right" vertical="center"/>
    </xf>
    <xf numFmtId="0" fontId="54" fillId="4" borderId="31" xfId="19" applyFont="1" applyFill="1" applyBorder="1" applyAlignment="1">
      <alignment horizontal="center"/>
    </xf>
    <xf numFmtId="0" fontId="54" fillId="4" borderId="18" xfId="19" applyFont="1" applyFill="1" applyBorder="1" applyAlignment="1">
      <alignment horizontal="right" vertical="center"/>
    </xf>
    <xf numFmtId="0" fontId="54" fillId="4" borderId="18" xfId="19" applyFont="1" applyFill="1" applyBorder="1" applyAlignment="1">
      <alignment horizontal="left" wrapText="1"/>
    </xf>
    <xf numFmtId="0" fontId="26" fillId="0" borderId="18" xfId="19" quotePrefix="1" applyFont="1" applyFill="1" applyBorder="1" applyAlignment="1">
      <alignment wrapText="1"/>
    </xf>
    <xf numFmtId="0" fontId="26" fillId="2" borderId="8" xfId="0" applyFont="1" applyFill="1" applyBorder="1" applyAlignment="1">
      <alignment horizontal="right" vertical="center"/>
    </xf>
    <xf numFmtId="0" fontId="26" fillId="2" borderId="8" xfId="0" applyFont="1" applyFill="1" applyBorder="1" applyAlignment="1">
      <alignment horizontal="center" vertical="center" wrapText="1"/>
    </xf>
    <xf numFmtId="0" fontId="26" fillId="2" borderId="8" xfId="0" applyFont="1" applyFill="1" applyBorder="1" applyAlignment="1">
      <alignment horizontal="center" vertical="center"/>
    </xf>
    <xf numFmtId="3" fontId="34" fillId="2" borderId="8" xfId="34" applyNumberFormat="1" applyFont="1" applyFill="1" applyBorder="1" applyAlignment="1">
      <alignment horizontal="center" vertical="center" wrapText="1"/>
    </xf>
    <xf numFmtId="165" fontId="34" fillId="2" borderId="8" xfId="34" applyNumberFormat="1" applyFont="1" applyFill="1" applyBorder="1" applyAlignment="1">
      <alignment horizontal="center" vertical="center" wrapText="1"/>
    </xf>
    <xf numFmtId="168" fontId="34" fillId="2" borderId="8" xfId="31" applyNumberFormat="1" applyFont="1" applyFill="1" applyBorder="1" applyAlignment="1">
      <alignment horizontal="center" vertical="center" wrapText="1"/>
    </xf>
    <xf numFmtId="0" fontId="26" fillId="2" borderId="15" xfId="19" applyFont="1" applyFill="1" applyBorder="1" applyAlignment="1">
      <alignment horizontal="right" vertical="center"/>
    </xf>
    <xf numFmtId="0" fontId="26" fillId="2" borderId="15" xfId="19" applyFont="1" applyFill="1" applyBorder="1" applyAlignment="1">
      <alignment horizontal="center" vertical="center" wrapText="1"/>
    </xf>
    <xf numFmtId="0" fontId="26" fillId="2" borderId="15" xfId="19" applyFont="1" applyFill="1" applyBorder="1" applyAlignment="1">
      <alignment horizontal="center" vertical="center"/>
    </xf>
    <xf numFmtId="3" fontId="34" fillId="2" borderId="15" xfId="34" applyNumberFormat="1" applyFont="1" applyFill="1" applyBorder="1" applyAlignment="1">
      <alignment horizontal="center" vertical="center" wrapText="1"/>
    </xf>
    <xf numFmtId="165" fontId="34" fillId="2" borderId="15" xfId="34" applyNumberFormat="1" applyFont="1" applyFill="1" applyBorder="1" applyAlignment="1">
      <alignment horizontal="center" vertical="center" wrapText="1"/>
    </xf>
    <xf numFmtId="43" fontId="34" fillId="2" borderId="15" xfId="33" applyFont="1" applyFill="1" applyBorder="1" applyAlignment="1">
      <alignment horizontal="center" vertical="center" wrapText="1"/>
    </xf>
    <xf numFmtId="168" fontId="34" fillId="2" borderId="15" xfId="33" applyNumberFormat="1" applyFont="1" applyFill="1" applyBorder="1" applyAlignment="1">
      <alignment horizontal="center" vertical="center" wrapText="1"/>
    </xf>
    <xf numFmtId="0" fontId="36" fillId="0" borderId="31" xfId="0" applyFont="1" applyFill="1" applyBorder="1" applyAlignment="1">
      <alignment horizontal="left" wrapText="1"/>
    </xf>
    <xf numFmtId="0" fontId="36" fillId="0" borderId="31" xfId="0" applyFont="1" applyFill="1" applyBorder="1" applyAlignment="1">
      <alignment horizontal="center" vertical="center"/>
    </xf>
    <xf numFmtId="3" fontId="35" fillId="0" borderId="31" xfId="0" applyNumberFormat="1" applyFont="1" applyFill="1" applyBorder="1" applyAlignment="1">
      <alignment horizontal="center" vertical="center"/>
    </xf>
    <xf numFmtId="165" fontId="35" fillId="0" borderId="31" xfId="0" applyNumberFormat="1" applyFont="1" applyFill="1" applyBorder="1" applyAlignment="1"/>
    <xf numFmtId="43" fontId="4" fillId="0" borderId="31" xfId="0" applyNumberFormat="1" applyFont="1" applyFill="1" applyBorder="1" applyAlignment="1"/>
    <xf numFmtId="0" fontId="36" fillId="0" borderId="31" xfId="0" applyFont="1" applyFill="1" applyBorder="1" applyAlignment="1">
      <alignment horizontal="left" vertical="center" wrapText="1"/>
    </xf>
    <xf numFmtId="4" fontId="35" fillId="0" borderId="31" xfId="0" applyNumberFormat="1" applyFont="1" applyFill="1" applyBorder="1" applyAlignment="1">
      <alignment horizontal="center"/>
    </xf>
    <xf numFmtId="3" fontId="35" fillId="0" borderId="31" xfId="0" applyNumberFormat="1" applyFont="1" applyFill="1" applyBorder="1" applyAlignment="1">
      <alignment horizontal="center"/>
    </xf>
    <xf numFmtId="165" fontId="35" fillId="0" borderId="31" xfId="0" applyNumberFormat="1" applyFont="1" applyFill="1" applyBorder="1" applyAlignment="1">
      <alignment horizontal="center"/>
    </xf>
    <xf numFmtId="43" fontId="35" fillId="0" borderId="31" xfId="4" applyNumberFormat="1" applyFont="1" applyFill="1" applyBorder="1" applyAlignment="1"/>
    <xf numFmtId="0" fontId="34" fillId="0" borderId="31" xfId="0" applyFont="1" applyFill="1" applyBorder="1" applyAlignment="1">
      <alignment horizontal="left" wrapText="1"/>
    </xf>
    <xf numFmtId="0" fontId="35" fillId="0" borderId="31" xfId="0" applyFont="1" applyFill="1" applyBorder="1" applyAlignment="1">
      <alignment horizontal="left" wrapText="1"/>
    </xf>
    <xf numFmtId="43" fontId="35" fillId="0" borderId="31" xfId="4" applyFont="1" applyFill="1" applyBorder="1" applyAlignment="1">
      <alignment horizontal="right"/>
    </xf>
    <xf numFmtId="0" fontId="37" fillId="0" borderId="31" xfId="0" applyFont="1" applyFill="1" applyBorder="1" applyAlignment="1">
      <alignment horizontal="left" wrapText="1"/>
    </xf>
    <xf numFmtId="3" fontId="4" fillId="0" borderId="31" xfId="0" applyNumberFormat="1" applyFont="1" applyFill="1" applyBorder="1" applyAlignment="1"/>
    <xf numFmtId="168" fontId="4" fillId="0" borderId="31" xfId="33" applyNumberFormat="1" applyFont="1" applyFill="1" applyBorder="1" applyAlignment="1"/>
    <xf numFmtId="3" fontId="34" fillId="0" borderId="31" xfId="0" applyNumberFormat="1" applyFont="1" applyFill="1" applyBorder="1" applyAlignment="1">
      <alignment horizontal="center"/>
    </xf>
    <xf numFmtId="165" fontId="34" fillId="0" borderId="31" xfId="0" applyNumberFormat="1" applyFont="1" applyFill="1" applyBorder="1" applyAlignment="1">
      <alignment horizontal="center"/>
    </xf>
    <xf numFmtId="43" fontId="34" fillId="0" borderId="31" xfId="4" applyNumberFormat="1" applyFont="1" applyFill="1" applyBorder="1" applyAlignment="1"/>
    <xf numFmtId="0" fontId="4" fillId="4" borderId="31" xfId="0" applyFont="1" applyFill="1" applyBorder="1" applyAlignment="1"/>
    <xf numFmtId="0" fontId="4" fillId="0" borderId="31" xfId="0" applyFont="1" applyFill="1" applyBorder="1" applyAlignment="1"/>
    <xf numFmtId="4" fontId="36" fillId="4" borderId="31" xfId="0" applyNumberFormat="1" applyFont="1" applyFill="1" applyBorder="1" applyAlignment="1">
      <alignment horizontal="left" wrapText="1"/>
    </xf>
    <xf numFmtId="4" fontId="35" fillId="4" borderId="31" xfId="0" applyNumberFormat="1" applyFont="1" applyFill="1" applyBorder="1" applyAlignment="1">
      <alignment horizontal="center"/>
    </xf>
    <xf numFmtId="165" fontId="35" fillId="4" borderId="31" xfId="0" applyNumberFormat="1" applyFont="1" applyFill="1" applyBorder="1" applyAlignment="1">
      <alignment horizontal="center"/>
    </xf>
    <xf numFmtId="43" fontId="34" fillId="4" borderId="31" xfId="33" applyFont="1" applyFill="1" applyBorder="1" applyAlignment="1">
      <alignment horizontal="right" indent="1"/>
    </xf>
    <xf numFmtId="4" fontId="34" fillId="4" borderId="31" xfId="0" applyNumberFormat="1" applyFont="1" applyFill="1" applyBorder="1" applyAlignment="1">
      <alignment horizontal="center"/>
    </xf>
    <xf numFmtId="165" fontId="34" fillId="4" borderId="31" xfId="0" applyNumberFormat="1" applyFont="1" applyFill="1" applyBorder="1" applyAlignment="1">
      <alignment horizontal="center"/>
    </xf>
    <xf numFmtId="4" fontId="34" fillId="4" borderId="31" xfId="0" applyNumberFormat="1" applyFont="1" applyFill="1" applyBorder="1" applyAlignment="1">
      <alignment horizontal="left" vertical="center" wrapText="1"/>
    </xf>
    <xf numFmtId="3" fontId="35" fillId="4" borderId="31" xfId="0" applyNumberFormat="1" applyFont="1" applyFill="1" applyBorder="1" applyAlignment="1">
      <alignment horizontal="center"/>
    </xf>
    <xf numFmtId="43" fontId="35" fillId="4" borderId="31" xfId="33" applyFont="1" applyFill="1" applyBorder="1" applyAlignment="1">
      <alignment horizontal="right" indent="1"/>
    </xf>
    <xf numFmtId="3" fontId="35" fillId="4" borderId="31" xfId="0" applyNumberFormat="1" applyFont="1" applyFill="1" applyBorder="1" applyAlignment="1">
      <alignment horizontal="left" wrapText="1"/>
    </xf>
    <xf numFmtId="3" fontId="36" fillId="4" borderId="31" xfId="0" applyNumberFormat="1" applyFont="1" applyFill="1" applyBorder="1" applyAlignment="1">
      <alignment horizontal="left" wrapText="1"/>
    </xf>
    <xf numFmtId="4" fontId="35" fillId="4" borderId="31" xfId="0" applyNumberFormat="1" applyFont="1" applyFill="1" applyBorder="1" applyAlignment="1">
      <alignment horizontal="left" wrapText="1"/>
    </xf>
    <xf numFmtId="0" fontId="36" fillId="4" borderId="31" xfId="0" applyFont="1" applyFill="1" applyBorder="1" applyAlignment="1">
      <alignment horizontal="left" wrapText="1"/>
    </xf>
    <xf numFmtId="0" fontId="35" fillId="4" borderId="31" xfId="0" applyFont="1" applyFill="1" applyBorder="1" applyAlignment="1">
      <alignment horizontal="center"/>
    </xf>
    <xf numFmtId="0" fontId="35" fillId="4" borderId="31" xfId="0" applyFont="1" applyFill="1" applyBorder="1" applyAlignment="1">
      <alignment horizontal="left" wrapText="1"/>
    </xf>
    <xf numFmtId="0" fontId="37" fillId="4" borderId="31" xfId="0" applyFont="1" applyFill="1" applyBorder="1" applyAlignment="1">
      <alignment horizontal="left" wrapText="1"/>
    </xf>
    <xf numFmtId="0" fontId="34" fillId="4" borderId="31" xfId="0" applyFont="1" applyFill="1" applyBorder="1" applyAlignment="1">
      <alignment horizontal="center"/>
    </xf>
    <xf numFmtId="0" fontId="34" fillId="4" borderId="31" xfId="0" applyFont="1" applyFill="1" applyBorder="1" applyAlignment="1">
      <alignment horizontal="left" wrapText="1"/>
    </xf>
    <xf numFmtId="43" fontId="36" fillId="4" borderId="31" xfId="33" applyFont="1" applyFill="1" applyBorder="1" applyAlignment="1">
      <alignment horizontal="right"/>
    </xf>
    <xf numFmtId="43" fontId="34" fillId="4" borderId="31" xfId="33" applyFont="1" applyFill="1" applyBorder="1" applyAlignment="1"/>
    <xf numFmtId="3" fontId="34" fillId="4" borderId="31" xfId="0" applyNumberFormat="1" applyFont="1" applyFill="1" applyBorder="1" applyAlignment="1">
      <alignment horizontal="center"/>
    </xf>
    <xf numFmtId="0" fontId="35" fillId="4" borderId="31" xfId="0" applyFont="1" applyFill="1" applyBorder="1" applyAlignment="1">
      <alignment wrapText="1"/>
    </xf>
    <xf numFmtId="0" fontId="34" fillId="4" borderId="31" xfId="0" applyFont="1" applyFill="1" applyBorder="1" applyAlignment="1">
      <alignment wrapText="1"/>
    </xf>
    <xf numFmtId="43" fontId="35" fillId="4" borderId="31" xfId="4" applyFont="1" applyFill="1" applyBorder="1" applyAlignment="1">
      <alignment horizontal="center"/>
    </xf>
    <xf numFmtId="43" fontId="35" fillId="4" borderId="31" xfId="4" applyFont="1" applyFill="1" applyBorder="1" applyAlignment="1">
      <alignment horizontal="right"/>
    </xf>
    <xf numFmtId="43" fontId="35" fillId="4" borderId="31" xfId="33" applyFont="1" applyFill="1" applyBorder="1" applyAlignment="1">
      <alignment horizontal="right"/>
    </xf>
    <xf numFmtId="0" fontId="26" fillId="4" borderId="31" xfId="0" applyFont="1" applyFill="1" applyBorder="1" applyAlignment="1">
      <alignment horizontal="right" vertical="center"/>
    </xf>
    <xf numFmtId="0" fontId="26" fillId="4" borderId="31" xfId="0" applyFont="1" applyFill="1" applyBorder="1" applyAlignment="1">
      <alignment wrapText="1"/>
    </xf>
    <xf numFmtId="0" fontId="26" fillId="4" borderId="31" xfId="0" applyFont="1" applyFill="1" applyBorder="1" applyAlignment="1">
      <alignment horizontal="center" vertical="center"/>
    </xf>
    <xf numFmtId="3" fontId="26" fillId="4" borderId="31" xfId="0" applyNumberFormat="1" applyFont="1" applyFill="1" applyBorder="1" applyAlignment="1"/>
    <xf numFmtId="165" fontId="34" fillId="4" borderId="31" xfId="0" applyNumberFormat="1" applyFont="1" applyFill="1" applyBorder="1" applyAlignment="1"/>
    <xf numFmtId="43" fontId="26" fillId="4" borderId="31" xfId="33" applyFont="1" applyFill="1" applyBorder="1" applyAlignment="1"/>
    <xf numFmtId="0" fontId="34" fillId="4" borderId="31" xfId="0" applyFont="1" applyFill="1" applyBorder="1"/>
    <xf numFmtId="0" fontId="35" fillId="4" borderId="31" xfId="0" applyFont="1" applyFill="1" applyBorder="1"/>
    <xf numFmtId="43" fontId="35" fillId="4" borderId="31" xfId="33" applyFont="1" applyFill="1" applyBorder="1"/>
    <xf numFmtId="4" fontId="35" fillId="4" borderId="31" xfId="0" applyNumberFormat="1" applyFont="1" applyFill="1" applyBorder="1" applyAlignment="1">
      <alignment wrapText="1"/>
    </xf>
    <xf numFmtId="4" fontId="35" fillId="4" borderId="31" xfId="0" applyNumberFormat="1" applyFont="1" applyFill="1" applyBorder="1"/>
    <xf numFmtId="43" fontId="34" fillId="4" borderId="31" xfId="33" applyFont="1" applyFill="1" applyBorder="1"/>
    <xf numFmtId="0" fontId="26" fillId="2" borderId="31" xfId="0" applyFont="1" applyFill="1" applyBorder="1" applyAlignment="1">
      <alignment horizontal="center" vertical="center" wrapText="1"/>
    </xf>
    <xf numFmtId="0" fontId="26" fillId="2" borderId="31" xfId="0" applyFont="1" applyFill="1" applyBorder="1" applyAlignment="1">
      <alignment horizontal="center" vertical="center"/>
    </xf>
    <xf numFmtId="3" fontId="34" fillId="2" borderId="31" xfId="34" applyNumberFormat="1" applyFont="1" applyFill="1" applyBorder="1" applyAlignment="1">
      <alignment horizontal="center" vertical="center" wrapText="1"/>
    </xf>
    <xf numFmtId="165" fontId="34" fillId="2" borderId="31" xfId="34" applyNumberFormat="1" applyFont="1" applyFill="1" applyBorder="1" applyAlignment="1">
      <alignment horizontal="center" vertical="center" wrapText="1"/>
    </xf>
    <xf numFmtId="0" fontId="35" fillId="0" borderId="34" xfId="0" applyFont="1" applyFill="1" applyBorder="1" applyAlignment="1">
      <alignment horizontal="center"/>
    </xf>
    <xf numFmtId="43" fontId="35" fillId="0" borderId="35" xfId="4" applyFont="1" applyFill="1" applyBorder="1" applyAlignment="1">
      <alignment horizontal="right"/>
    </xf>
    <xf numFmtId="0" fontId="26" fillId="2" borderId="34" xfId="0" applyFont="1" applyFill="1" applyBorder="1" applyAlignment="1">
      <alignment horizontal="right" vertical="center"/>
    </xf>
    <xf numFmtId="43" fontId="34" fillId="2" borderId="35" xfId="33" applyFont="1" applyFill="1" applyBorder="1" applyAlignment="1">
      <alignment horizontal="center" vertical="center" wrapText="1"/>
    </xf>
    <xf numFmtId="0" fontId="4" fillId="0" borderId="34" xfId="0" applyFont="1" applyFill="1" applyBorder="1" applyAlignment="1">
      <alignment horizontal="center"/>
    </xf>
    <xf numFmtId="0" fontId="66" fillId="0" borderId="31" xfId="0" applyFont="1" applyFill="1" applyBorder="1" applyAlignment="1">
      <alignment horizontal="left" wrapText="1"/>
    </xf>
    <xf numFmtId="4" fontId="4" fillId="0" borderId="31" xfId="0" applyNumberFormat="1" applyFont="1" applyFill="1" applyBorder="1" applyAlignment="1">
      <alignment horizontal="center"/>
    </xf>
    <xf numFmtId="43" fontId="4" fillId="0" borderId="35" xfId="4" applyFont="1" applyFill="1" applyBorder="1" applyAlignment="1">
      <alignment horizontal="right"/>
    </xf>
    <xf numFmtId="0" fontId="34" fillId="0" borderId="34" xfId="0" applyFont="1" applyFill="1" applyBorder="1" applyAlignment="1">
      <alignment horizontal="left" wrapText="1"/>
    </xf>
    <xf numFmtId="4" fontId="34" fillId="0" borderId="31" xfId="0" applyNumberFormat="1" applyFont="1" applyFill="1" applyBorder="1" applyAlignment="1">
      <alignment horizontal="center"/>
    </xf>
    <xf numFmtId="43" fontId="34" fillId="0" borderId="35" xfId="4" applyFont="1" applyFill="1" applyBorder="1" applyAlignment="1">
      <alignment horizontal="right"/>
    </xf>
    <xf numFmtId="43" fontId="34" fillId="0" borderId="36" xfId="4" applyFont="1" applyFill="1" applyBorder="1" applyAlignment="1">
      <alignment horizontal="right"/>
    </xf>
    <xf numFmtId="0" fontId="34" fillId="0" borderId="34" xfId="0" applyFont="1" applyFill="1" applyBorder="1" applyAlignment="1">
      <alignment horizontal="center"/>
    </xf>
    <xf numFmtId="0" fontId="37" fillId="0" borderId="31" xfId="27" applyFont="1" applyFill="1" applyBorder="1" applyAlignment="1">
      <alignment horizontal="left" wrapText="1"/>
    </xf>
    <xf numFmtId="43" fontId="35" fillId="0" borderId="35" xfId="0" applyNumberFormat="1" applyFont="1" applyFill="1" applyBorder="1" applyAlignment="1">
      <alignment horizontal="right"/>
    </xf>
    <xf numFmtId="165" fontId="35" fillId="0" borderId="31" xfId="0" quotePrefix="1" applyNumberFormat="1" applyFont="1" applyFill="1" applyBorder="1" applyAlignment="1">
      <alignment horizontal="center"/>
    </xf>
    <xf numFmtId="0" fontId="35" fillId="0" borderId="33" xfId="0" applyFont="1" applyBorder="1"/>
    <xf numFmtId="0" fontId="35" fillId="0" borderId="33" xfId="0" applyFont="1" applyFill="1" applyBorder="1" applyAlignment="1"/>
    <xf numFmtId="0" fontId="34" fillId="4" borderId="34" xfId="0" applyFont="1" applyFill="1" applyBorder="1" applyAlignment="1">
      <alignment horizontal="right" vertical="center"/>
    </xf>
    <xf numFmtId="43" fontId="34" fillId="4" borderId="35" xfId="33" applyFont="1" applyFill="1" applyBorder="1" applyAlignment="1"/>
    <xf numFmtId="0" fontId="26" fillId="4" borderId="33" xfId="0" applyFont="1" applyFill="1" applyBorder="1" applyAlignment="1"/>
    <xf numFmtId="0" fontId="26" fillId="0" borderId="33" xfId="0" applyFont="1" applyFill="1" applyBorder="1" applyAlignment="1"/>
    <xf numFmtId="0" fontId="4" fillId="4" borderId="33" xfId="0" applyFont="1" applyFill="1" applyBorder="1" applyAlignment="1"/>
    <xf numFmtId="0" fontId="4" fillId="0" borderId="33" xfId="0" applyFont="1" applyFill="1" applyBorder="1" applyAlignment="1"/>
    <xf numFmtId="0" fontId="35" fillId="4" borderId="34" xfId="0" applyFont="1" applyFill="1" applyBorder="1" applyAlignment="1">
      <alignment horizontal="right" vertical="center"/>
    </xf>
    <xf numFmtId="0" fontId="34" fillId="0" borderId="33" xfId="0" applyFont="1" applyFill="1" applyBorder="1" applyAlignment="1"/>
    <xf numFmtId="1" fontId="64" fillId="4" borderId="31" xfId="0" applyNumberFormat="1" applyFont="1" applyFill="1" applyBorder="1" applyAlignment="1">
      <alignment horizontal="center" vertical="top" wrapText="1"/>
    </xf>
    <xf numFmtId="0" fontId="65" fillId="4" borderId="31" xfId="0" applyNumberFormat="1" applyFont="1" applyFill="1" applyBorder="1" applyAlignment="1">
      <alignment vertical="top" wrapText="1"/>
    </xf>
    <xf numFmtId="0" fontId="65" fillId="4" borderId="31" xfId="0" applyNumberFormat="1" applyFont="1" applyFill="1" applyBorder="1" applyAlignment="1">
      <alignment horizontal="center" vertical="top" wrapText="1"/>
    </xf>
    <xf numFmtId="1" fontId="65" fillId="4" borderId="31" xfId="0" applyNumberFormat="1" applyFont="1" applyFill="1" applyBorder="1" applyAlignment="1">
      <alignment horizontal="right" vertical="top" wrapText="1"/>
    </xf>
    <xf numFmtId="43" fontId="65" fillId="4" borderId="37" xfId="33" applyFont="1" applyFill="1" applyBorder="1" applyAlignment="1">
      <alignment horizontal="right" vertical="top" wrapText="1"/>
    </xf>
    <xf numFmtId="0" fontId="65" fillId="4" borderId="33" xfId="0" applyNumberFormat="1" applyFont="1" applyFill="1" applyBorder="1" applyAlignment="1">
      <alignment vertical="top" wrapText="1"/>
    </xf>
    <xf numFmtId="0" fontId="65" fillId="5" borderId="33" xfId="0" applyNumberFormat="1" applyFont="1" applyFill="1" applyBorder="1" applyAlignment="1">
      <alignment vertical="top" wrapText="1"/>
    </xf>
    <xf numFmtId="0" fontId="65" fillId="5" borderId="33" xfId="0" applyFont="1" applyFill="1" applyBorder="1" applyAlignment="1">
      <alignment vertical="top" wrapText="1"/>
    </xf>
    <xf numFmtId="0" fontId="64" fillId="4" borderId="31" xfId="0" applyNumberFormat="1" applyFont="1" applyFill="1" applyBorder="1" applyAlignment="1">
      <alignment horizontal="center" vertical="top" wrapText="1"/>
    </xf>
    <xf numFmtId="1" fontId="64" fillId="4" borderId="31" xfId="0" applyNumberFormat="1" applyFont="1" applyFill="1" applyBorder="1" applyAlignment="1">
      <alignment horizontal="right" vertical="top" wrapText="1"/>
    </xf>
    <xf numFmtId="43" fontId="64" fillId="4" borderId="37" xfId="33" applyFont="1" applyFill="1" applyBorder="1" applyAlignment="1">
      <alignment horizontal="right" vertical="top" wrapText="1"/>
    </xf>
    <xf numFmtId="0" fontId="64" fillId="4" borderId="33" xfId="0" applyNumberFormat="1" applyFont="1" applyFill="1" applyBorder="1" applyAlignment="1">
      <alignment vertical="top" wrapText="1"/>
    </xf>
    <xf numFmtId="0" fontId="64" fillId="5" borderId="33" xfId="0" applyNumberFormat="1" applyFont="1" applyFill="1" applyBorder="1" applyAlignment="1">
      <alignment vertical="top" wrapText="1"/>
    </xf>
    <xf numFmtId="0" fontId="64" fillId="5" borderId="33" xfId="0" applyFont="1" applyFill="1" applyBorder="1" applyAlignment="1">
      <alignment vertical="top" wrapText="1"/>
    </xf>
    <xf numFmtId="0" fontId="65" fillId="4" borderId="31" xfId="0" applyFont="1" applyFill="1" applyBorder="1" applyAlignment="1">
      <alignment wrapText="1"/>
    </xf>
    <xf numFmtId="0" fontId="64" fillId="4" borderId="31" xfId="0" applyFont="1" applyFill="1" applyBorder="1" applyAlignment="1">
      <alignment wrapText="1"/>
    </xf>
    <xf numFmtId="43" fontId="64" fillId="4" borderId="37" xfId="33" applyFont="1" applyFill="1" applyBorder="1" applyAlignment="1">
      <alignment wrapText="1"/>
    </xf>
    <xf numFmtId="0" fontId="64" fillId="4" borderId="33" xfId="0" applyFont="1" applyFill="1" applyBorder="1" applyAlignment="1"/>
    <xf numFmtId="0" fontId="64" fillId="5" borderId="33" xfId="0" applyFont="1" applyFill="1" applyBorder="1" applyAlignment="1"/>
    <xf numFmtId="0" fontId="64" fillId="4" borderId="31" xfId="0" applyNumberFormat="1" applyFont="1" applyFill="1" applyBorder="1" applyAlignment="1">
      <alignment vertical="top" wrapText="1"/>
    </xf>
    <xf numFmtId="43" fontId="4" fillId="4" borderId="37" xfId="33" applyFont="1" applyFill="1" applyBorder="1" applyAlignment="1">
      <alignment horizontal="right" vertical="center"/>
    </xf>
    <xf numFmtId="43" fontId="26" fillId="4" borderId="37" xfId="33" applyFont="1" applyFill="1" applyBorder="1" applyAlignment="1">
      <alignment horizontal="right" vertical="center"/>
    </xf>
    <xf numFmtId="0" fontId="65" fillId="4" borderId="33" xfId="0" applyFont="1" applyFill="1" applyBorder="1" applyAlignment="1"/>
    <xf numFmtId="0" fontId="65" fillId="5" borderId="33" xfId="0" applyFont="1" applyFill="1" applyBorder="1" applyAlignment="1"/>
    <xf numFmtId="1" fontId="65" fillId="4" borderId="31" xfId="0" applyNumberFormat="1" applyFont="1" applyFill="1" applyBorder="1" applyAlignment="1">
      <alignment horizontal="center" vertical="top" wrapText="1"/>
    </xf>
    <xf numFmtId="0" fontId="64" fillId="4" borderId="31" xfId="0" applyFont="1" applyFill="1" applyBorder="1" applyAlignment="1"/>
    <xf numFmtId="0" fontId="35" fillId="4" borderId="31" xfId="0" applyFont="1" applyFill="1" applyBorder="1" applyAlignment="1"/>
    <xf numFmtId="43" fontId="35" fillId="4" borderId="37" xfId="33" applyFont="1" applyFill="1" applyBorder="1" applyAlignment="1">
      <alignment horizontal="right" vertical="center"/>
    </xf>
    <xf numFmtId="0" fontId="35" fillId="4" borderId="33" xfId="0" applyFont="1" applyFill="1" applyBorder="1" applyAlignment="1"/>
    <xf numFmtId="0" fontId="35" fillId="5" borderId="33" xfId="0" applyFont="1" applyFill="1" applyBorder="1" applyAlignment="1"/>
    <xf numFmtId="0" fontId="65" fillId="4" borderId="31" xfId="0" applyFont="1" applyFill="1" applyBorder="1" applyAlignment="1"/>
    <xf numFmtId="0" fontId="26" fillId="4" borderId="31" xfId="0" applyFont="1" applyFill="1" applyBorder="1" applyAlignment="1">
      <alignment vertical="center" wrapText="1"/>
    </xf>
    <xf numFmtId="0" fontId="26" fillId="4" borderId="37" xfId="0" applyFont="1" applyFill="1" applyBorder="1" applyAlignment="1">
      <alignment horizontal="right" vertical="center"/>
    </xf>
    <xf numFmtId="43" fontId="26" fillId="4" borderId="37" xfId="0" applyNumberFormat="1" applyFont="1" applyFill="1" applyBorder="1" applyAlignment="1">
      <alignment horizontal="right" vertical="center"/>
    </xf>
    <xf numFmtId="0" fontId="26" fillId="4" borderId="36" xfId="0" applyFont="1" applyFill="1" applyBorder="1" applyAlignment="1">
      <alignment horizontal="right" vertical="center"/>
    </xf>
    <xf numFmtId="0" fontId="34" fillId="4" borderId="33" xfId="0" applyFont="1" applyFill="1" applyBorder="1" applyAlignment="1"/>
    <xf numFmtId="0" fontId="34" fillId="5" borderId="33" xfId="0" applyFont="1" applyFill="1" applyBorder="1" applyAlignment="1"/>
    <xf numFmtId="0" fontId="64" fillId="4" borderId="31" xfId="0" applyFont="1" applyFill="1" applyBorder="1" applyAlignment="1">
      <alignment vertical="center" wrapText="1"/>
    </xf>
    <xf numFmtId="0" fontId="34" fillId="4" borderId="31" xfId="0" applyFont="1" applyFill="1" applyBorder="1" applyAlignment="1"/>
    <xf numFmtId="0" fontId="35" fillId="4" borderId="33" xfId="0" applyFont="1" applyFill="1" applyBorder="1"/>
    <xf numFmtId="0" fontId="34" fillId="4" borderId="33" xfId="0" applyFont="1" applyFill="1" applyBorder="1"/>
    <xf numFmtId="0" fontId="34" fillId="0" borderId="33" xfId="0" applyFont="1" applyBorder="1"/>
    <xf numFmtId="0" fontId="26" fillId="2" borderId="38" xfId="0" applyFont="1" applyFill="1" applyBorder="1" applyAlignment="1">
      <alignment horizontal="right" vertical="center"/>
    </xf>
    <xf numFmtId="0" fontId="26" fillId="2" borderId="39" xfId="0" applyFont="1" applyFill="1" applyBorder="1" applyAlignment="1">
      <alignment horizontal="center" vertical="center" wrapText="1"/>
    </xf>
    <xf numFmtId="0" fontId="26" fillId="2" borderId="39" xfId="0" applyFont="1" applyFill="1" applyBorder="1" applyAlignment="1">
      <alignment horizontal="center" vertical="center"/>
    </xf>
    <xf numFmtId="3" fontId="34" fillId="2" borderId="39" xfId="34" applyNumberFormat="1" applyFont="1" applyFill="1" applyBorder="1" applyAlignment="1">
      <alignment horizontal="center" vertical="center" wrapText="1"/>
    </xf>
    <xf numFmtId="165" fontId="34" fillId="2" borderId="39" xfId="34" applyNumberFormat="1" applyFont="1" applyFill="1" applyBorder="1" applyAlignment="1">
      <alignment horizontal="center" vertical="center" wrapText="1"/>
    </xf>
    <xf numFmtId="168" fontId="34" fillId="2" borderId="39" xfId="33" applyNumberFormat="1" applyFont="1" applyFill="1" applyBorder="1" applyAlignment="1">
      <alignment horizontal="center" vertical="center" wrapText="1"/>
    </xf>
    <xf numFmtId="0" fontId="35" fillId="0" borderId="40" xfId="0" applyFont="1" applyBorder="1"/>
    <xf numFmtId="0" fontId="4" fillId="0" borderId="34" xfId="0" applyFont="1" applyFill="1" applyBorder="1" applyAlignment="1">
      <alignment horizontal="right" vertical="center"/>
    </xf>
    <xf numFmtId="0" fontId="35" fillId="0" borderId="34" xfId="0" applyFont="1" applyFill="1" applyBorder="1" applyAlignment="1">
      <alignment horizontal="right" vertical="center"/>
    </xf>
    <xf numFmtId="2" fontId="35" fillId="0" borderId="34" xfId="0" applyNumberFormat="1" applyFont="1" applyFill="1" applyBorder="1" applyAlignment="1">
      <alignment horizontal="right" vertical="center"/>
    </xf>
    <xf numFmtId="0" fontId="34" fillId="0" borderId="34" xfId="0" applyFont="1" applyFill="1" applyBorder="1" applyAlignment="1">
      <alignment horizontal="right" vertical="center"/>
    </xf>
    <xf numFmtId="0" fontId="65" fillId="4" borderId="34" xfId="0" applyNumberFormat="1" applyFont="1" applyFill="1" applyBorder="1" applyAlignment="1">
      <alignment horizontal="right" vertical="center" wrapText="1"/>
    </xf>
    <xf numFmtId="0" fontId="64" fillId="4" borderId="34" xfId="0" applyFont="1" applyFill="1" applyBorder="1" applyAlignment="1">
      <alignment horizontal="right" vertical="center" wrapText="1"/>
    </xf>
    <xf numFmtId="0" fontId="64" fillId="4" borderId="34" xfId="0" applyNumberFormat="1" applyFont="1" applyFill="1" applyBorder="1" applyAlignment="1">
      <alignment horizontal="right" vertical="center" wrapText="1"/>
    </xf>
    <xf numFmtId="2" fontId="64" fillId="4" borderId="34" xfId="0" applyNumberFormat="1" applyFont="1" applyFill="1" applyBorder="1" applyAlignment="1">
      <alignment horizontal="right" vertical="center" wrapText="1"/>
    </xf>
    <xf numFmtId="0" fontId="26" fillId="4" borderId="34" xfId="0" applyFont="1" applyFill="1" applyBorder="1" applyAlignment="1">
      <alignment horizontal="right" vertical="center" wrapText="1"/>
    </xf>
    <xf numFmtId="167" fontId="65" fillId="4" borderId="34" xfId="0" applyNumberFormat="1" applyFont="1" applyFill="1" applyBorder="1" applyAlignment="1">
      <alignment horizontal="right" vertical="center" wrapText="1"/>
    </xf>
    <xf numFmtId="0" fontId="64" fillId="4" borderId="34" xfId="0" applyFont="1" applyFill="1" applyBorder="1" applyAlignment="1">
      <alignment horizontal="right" vertical="center"/>
    </xf>
    <xf numFmtId="0" fontId="65" fillId="4" borderId="34" xfId="0" applyFont="1" applyFill="1" applyBorder="1" applyAlignment="1">
      <alignment horizontal="right" vertical="center"/>
    </xf>
    <xf numFmtId="0" fontId="26" fillId="4" borderId="34" xfId="0" applyFont="1" applyFill="1" applyBorder="1" applyAlignment="1">
      <alignment horizontal="right" vertical="center"/>
    </xf>
    <xf numFmtId="0" fontId="35" fillId="4" borderId="34" xfId="27" applyFont="1" applyFill="1" applyBorder="1" applyAlignment="1">
      <alignment horizontal="right" vertical="center"/>
    </xf>
    <xf numFmtId="0" fontId="34" fillId="4" borderId="34" xfId="27" applyFont="1" applyFill="1" applyBorder="1" applyAlignment="1">
      <alignment horizontal="right" vertical="center"/>
    </xf>
    <xf numFmtId="2" fontId="34" fillId="4" borderId="34" xfId="0" applyNumberFormat="1" applyFont="1" applyFill="1" applyBorder="1" applyAlignment="1">
      <alignment horizontal="right" vertical="center"/>
    </xf>
    <xf numFmtId="2" fontId="34" fillId="4" borderId="34" xfId="0" applyNumberFormat="1" applyFont="1" applyFill="1" applyBorder="1" applyAlignment="1">
      <alignment horizontal="right" vertical="center" wrapText="1"/>
    </xf>
    <xf numFmtId="0" fontId="35" fillId="4" borderId="34" xfId="19" applyFont="1" applyFill="1" applyBorder="1" applyAlignment="1">
      <alignment horizontal="right" vertical="center" wrapText="1"/>
    </xf>
    <xf numFmtId="2" fontId="35" fillId="4" borderId="34" xfId="0" applyNumberFormat="1" applyFont="1" applyFill="1" applyBorder="1" applyAlignment="1">
      <alignment horizontal="right" vertical="center"/>
    </xf>
    <xf numFmtId="0" fontId="35" fillId="0" borderId="41" xfId="0" applyFont="1" applyBorder="1" applyAlignment="1">
      <alignment vertical="center"/>
    </xf>
    <xf numFmtId="0" fontId="35" fillId="0" borderId="39" xfId="0" applyFont="1" applyBorder="1"/>
    <xf numFmtId="0" fontId="35" fillId="0" borderId="31" xfId="0" applyFont="1" applyBorder="1"/>
    <xf numFmtId="0" fontId="35" fillId="0" borderId="31" xfId="0" applyFont="1" applyFill="1" applyBorder="1" applyAlignment="1"/>
    <xf numFmtId="43" fontId="34" fillId="2" borderId="31" xfId="33" applyFont="1" applyFill="1" applyBorder="1" applyAlignment="1">
      <alignment horizontal="center" vertical="center" wrapText="1"/>
    </xf>
    <xf numFmtId="43" fontId="34" fillId="0" borderId="31" xfId="4" applyFont="1" applyFill="1" applyBorder="1" applyAlignment="1">
      <alignment horizontal="right"/>
    </xf>
    <xf numFmtId="0" fontId="34" fillId="0" borderId="31" xfId="0" applyFont="1" applyFill="1" applyBorder="1" applyAlignment="1"/>
    <xf numFmtId="0" fontId="65" fillId="5" borderId="31" xfId="0" applyNumberFormat="1" applyFont="1" applyFill="1" applyBorder="1" applyAlignment="1">
      <alignment vertical="top" wrapText="1"/>
    </xf>
    <xf numFmtId="0" fontId="65" fillId="5" borderId="31" xfId="0" applyFont="1" applyFill="1" applyBorder="1" applyAlignment="1">
      <alignment vertical="top" wrapText="1"/>
    </xf>
    <xf numFmtId="43" fontId="64" fillId="4" borderId="31" xfId="33" applyFont="1" applyFill="1" applyBorder="1" applyAlignment="1">
      <alignment horizontal="right" vertical="top" wrapText="1"/>
    </xf>
    <xf numFmtId="0" fontId="64" fillId="5" borderId="31" xfId="0" applyNumberFormat="1" applyFont="1" applyFill="1" applyBorder="1" applyAlignment="1">
      <alignment vertical="top" wrapText="1"/>
    </xf>
    <xf numFmtId="0" fontId="64" fillId="5" borderId="31" xfId="0" applyFont="1" applyFill="1" applyBorder="1" applyAlignment="1">
      <alignment vertical="top" wrapText="1"/>
    </xf>
    <xf numFmtId="43" fontId="64" fillId="4" borderId="31" xfId="33" applyFont="1" applyFill="1" applyBorder="1" applyAlignment="1">
      <alignment wrapText="1"/>
    </xf>
    <xf numFmtId="0" fontId="64" fillId="5" borderId="31" xfId="0" applyFont="1" applyFill="1" applyBorder="1" applyAlignment="1"/>
    <xf numFmtId="43" fontId="4" fillId="4" borderId="31" xfId="33" applyFont="1" applyFill="1" applyBorder="1" applyAlignment="1">
      <alignment horizontal="right" vertical="center"/>
    </xf>
    <xf numFmtId="43" fontId="26" fillId="4" borderId="31" xfId="33" applyFont="1" applyFill="1" applyBorder="1" applyAlignment="1">
      <alignment horizontal="right" vertical="center"/>
    </xf>
    <xf numFmtId="0" fontId="65" fillId="5" borderId="31" xfId="0" applyFont="1" applyFill="1" applyBorder="1" applyAlignment="1"/>
    <xf numFmtId="43" fontId="35" fillId="4" borderId="31" xfId="33" applyFont="1" applyFill="1" applyBorder="1" applyAlignment="1">
      <alignment horizontal="right" vertical="center"/>
    </xf>
    <xf numFmtId="0" fontId="35" fillId="5" borderId="31" xfId="0" applyFont="1" applyFill="1" applyBorder="1" applyAlignment="1"/>
    <xf numFmtId="43" fontId="35" fillId="0" borderId="31" xfId="0" applyNumberFormat="1" applyFont="1" applyFill="1" applyBorder="1" applyAlignment="1">
      <alignment horizontal="right"/>
    </xf>
    <xf numFmtId="43" fontId="26" fillId="4" borderId="31" xfId="0" applyNumberFormat="1" applyFont="1" applyFill="1" applyBorder="1" applyAlignment="1">
      <alignment horizontal="right" vertical="center"/>
    </xf>
    <xf numFmtId="0" fontId="34" fillId="5" borderId="31" xfId="0" applyFont="1" applyFill="1" applyBorder="1" applyAlignment="1"/>
    <xf numFmtId="0" fontId="34" fillId="0" borderId="31" xfId="0" applyFont="1" applyBorder="1"/>
    <xf numFmtId="0" fontId="35" fillId="0" borderId="34" xfId="0" applyFont="1" applyBorder="1" applyAlignment="1">
      <alignment vertical="center"/>
    </xf>
    <xf numFmtId="0" fontId="35" fillId="4" borderId="34" xfId="0" quotePrefix="1" applyFont="1" applyFill="1" applyBorder="1" applyAlignment="1">
      <alignment horizontal="right" vertical="center"/>
    </xf>
    <xf numFmtId="0" fontId="64" fillId="4" borderId="42" xfId="0" applyFont="1" applyFill="1" applyBorder="1" applyAlignment="1">
      <alignment wrapText="1"/>
    </xf>
    <xf numFmtId="2" fontId="35" fillId="4" borderId="34" xfId="0" quotePrefix="1" applyNumberFormat="1" applyFont="1" applyFill="1" applyBorder="1" applyAlignment="1">
      <alignment horizontal="right" vertical="center"/>
    </xf>
    <xf numFmtId="167" fontId="35" fillId="4" borderId="34" xfId="0" applyNumberFormat="1" applyFont="1" applyFill="1" applyBorder="1" applyAlignment="1">
      <alignment horizontal="right" vertical="center"/>
    </xf>
    <xf numFmtId="0" fontId="34" fillId="4" borderId="44" xfId="0" applyFont="1" applyFill="1" applyBorder="1" applyAlignment="1">
      <alignment horizontal="left" wrapText="1"/>
    </xf>
    <xf numFmtId="4" fontId="34" fillId="4" borderId="44" xfId="0" applyNumberFormat="1" applyFont="1" applyFill="1" applyBorder="1" applyAlignment="1">
      <alignment horizontal="center"/>
    </xf>
    <xf numFmtId="3" fontId="34" fillId="4" borderId="44" xfId="0" applyNumberFormat="1" applyFont="1" applyFill="1" applyBorder="1" applyAlignment="1">
      <alignment horizontal="center"/>
    </xf>
    <xf numFmtId="165" fontId="34" fillId="4" borderId="44" xfId="0" applyNumberFormat="1" applyFont="1" applyFill="1" applyBorder="1" applyAlignment="1">
      <alignment horizontal="center"/>
    </xf>
    <xf numFmtId="43" fontId="34" fillId="4" borderId="44" xfId="33" applyFont="1" applyFill="1" applyBorder="1" applyAlignment="1"/>
    <xf numFmtId="0" fontId="34" fillId="4" borderId="45" xfId="0" applyFont="1" applyFill="1" applyBorder="1" applyAlignment="1">
      <alignment horizontal="right" vertical="center"/>
    </xf>
    <xf numFmtId="0" fontId="34" fillId="4" borderId="46" xfId="0" applyFont="1" applyFill="1" applyBorder="1"/>
    <xf numFmtId="0" fontId="34" fillId="0" borderId="46" xfId="0" applyFont="1" applyBorder="1"/>
    <xf numFmtId="0" fontId="35" fillId="4" borderId="44" xfId="0" applyFont="1" applyFill="1" applyBorder="1" applyAlignment="1">
      <alignment horizontal="right" vertical="center"/>
    </xf>
    <xf numFmtId="0" fontId="35" fillId="4" borderId="44" xfId="0" applyFont="1" applyFill="1" applyBorder="1" applyAlignment="1">
      <alignment wrapText="1"/>
    </xf>
    <xf numFmtId="4" fontId="35" fillId="4" borderId="44" xfId="0" applyNumberFormat="1" applyFont="1" applyFill="1" applyBorder="1" applyAlignment="1">
      <alignment horizontal="center"/>
    </xf>
    <xf numFmtId="3" fontId="35" fillId="4" borderId="44" xfId="0" applyNumberFormat="1" applyFont="1" applyFill="1" applyBorder="1" applyAlignment="1">
      <alignment horizontal="center"/>
    </xf>
    <xf numFmtId="165" fontId="35" fillId="4" borderId="44" xfId="0" applyNumberFormat="1" applyFont="1" applyFill="1" applyBorder="1" applyAlignment="1">
      <alignment horizontal="center"/>
    </xf>
    <xf numFmtId="43" fontId="45" fillId="4" borderId="44" xfId="31" applyFont="1" applyFill="1" applyBorder="1" applyAlignment="1">
      <alignment wrapText="1"/>
    </xf>
    <xf numFmtId="0" fontId="35" fillId="4" borderId="46" xfId="0" applyFont="1" applyFill="1" applyBorder="1"/>
    <xf numFmtId="0" fontId="35" fillId="0" borderId="46" xfId="0" applyFont="1" applyBorder="1"/>
    <xf numFmtId="4" fontId="34" fillId="4" borderId="18" xfId="0" applyNumberFormat="1" applyFont="1" applyFill="1" applyBorder="1" applyAlignment="1">
      <alignment horizontal="center"/>
    </xf>
    <xf numFmtId="3" fontId="34" fillId="4" borderId="18" xfId="0" applyNumberFormat="1" applyFont="1" applyFill="1" applyBorder="1" applyAlignment="1">
      <alignment horizontal="center"/>
    </xf>
    <xf numFmtId="165" fontId="34" fillId="4" borderId="18" xfId="0" applyNumberFormat="1" applyFont="1" applyFill="1" applyBorder="1" applyAlignment="1">
      <alignment horizontal="center"/>
    </xf>
    <xf numFmtId="0" fontId="35" fillId="4" borderId="44" xfId="0" applyFont="1" applyFill="1" applyBorder="1" applyAlignment="1">
      <alignment horizontal="left" wrapText="1"/>
    </xf>
    <xf numFmtId="0" fontId="34" fillId="4" borderId="34" xfId="0" quotePrefix="1" applyFont="1" applyFill="1" applyBorder="1" applyAlignment="1">
      <alignment horizontal="right" vertical="center"/>
    </xf>
    <xf numFmtId="0" fontId="35" fillId="4" borderId="43" xfId="0" applyFont="1" applyFill="1" applyBorder="1" applyAlignment="1">
      <alignment horizontal="right" vertical="center"/>
    </xf>
    <xf numFmtId="43" fontId="35" fillId="4" borderId="44" xfId="33" applyFont="1" applyFill="1" applyBorder="1" applyAlignment="1">
      <alignment horizontal="right" indent="1"/>
    </xf>
    <xf numFmtId="0" fontId="35" fillId="4" borderId="44" xfId="0" applyFont="1" applyFill="1" applyBorder="1"/>
    <xf numFmtId="43" fontId="35" fillId="4" borderId="44" xfId="33" applyFont="1" applyFill="1" applyBorder="1"/>
    <xf numFmtId="0" fontId="35" fillId="0" borderId="44" xfId="0" applyFont="1" applyFill="1" applyBorder="1" applyAlignment="1">
      <alignment horizontal="left" wrapText="1"/>
    </xf>
    <xf numFmtId="3" fontId="35" fillId="0" borderId="44" xfId="0" applyNumberFormat="1" applyFont="1" applyFill="1" applyBorder="1" applyAlignment="1">
      <alignment horizontal="center"/>
    </xf>
    <xf numFmtId="165" fontId="35" fillId="0" borderId="44" xfId="0" applyNumberFormat="1" applyFont="1" applyFill="1" applyBorder="1" applyAlignment="1">
      <alignment horizontal="center"/>
    </xf>
    <xf numFmtId="43" fontId="35" fillId="0" borderId="44" xfId="4" applyNumberFormat="1" applyFont="1" applyFill="1" applyBorder="1" applyAlignment="1"/>
    <xf numFmtId="0" fontId="64" fillId="4" borderId="46" xfId="0" applyFont="1" applyFill="1" applyBorder="1" applyAlignment="1"/>
    <xf numFmtId="0" fontId="64" fillId="5" borderId="46" xfId="0" applyFont="1" applyFill="1" applyBorder="1" applyAlignment="1"/>
    <xf numFmtId="0" fontId="35" fillId="0" borderId="43" xfId="0" applyFont="1" applyFill="1" applyBorder="1" applyAlignment="1">
      <alignment horizontal="center"/>
    </xf>
    <xf numFmtId="4" fontId="35" fillId="0" borderId="44" xfId="0" applyNumberFormat="1" applyFont="1" applyFill="1" applyBorder="1" applyAlignment="1">
      <alignment horizontal="center"/>
    </xf>
    <xf numFmtId="43" fontId="35" fillId="0" borderId="47" xfId="4" applyFont="1" applyFill="1" applyBorder="1" applyAlignment="1">
      <alignment horizontal="right"/>
    </xf>
    <xf numFmtId="0" fontId="35" fillId="0" borderId="46" xfId="0" applyFont="1" applyFill="1" applyBorder="1" applyAlignment="1"/>
    <xf numFmtId="0" fontId="35" fillId="0" borderId="45" xfId="0" applyFont="1" applyFill="1" applyBorder="1" applyAlignment="1">
      <alignment horizontal="center"/>
    </xf>
    <xf numFmtId="43" fontId="35" fillId="0" borderId="48" xfId="4" applyFont="1" applyFill="1" applyBorder="1" applyAlignment="1">
      <alignment horizontal="right"/>
    </xf>
    <xf numFmtId="0" fontId="35" fillId="0" borderId="0" xfId="0" applyFont="1" applyFill="1" applyBorder="1" applyAlignment="1"/>
    <xf numFmtId="0" fontId="26" fillId="4" borderId="34" xfId="0" quotePrefix="1" applyFont="1" applyFill="1" applyBorder="1" applyAlignment="1">
      <alignment horizontal="right" vertical="center"/>
    </xf>
    <xf numFmtId="4" fontId="35" fillId="4" borderId="44" xfId="0" applyNumberFormat="1" applyFont="1" applyFill="1" applyBorder="1"/>
    <xf numFmtId="2" fontId="35" fillId="4" borderId="43" xfId="0" quotePrefix="1" applyNumberFormat="1" applyFont="1" applyFill="1" applyBorder="1" applyAlignment="1">
      <alignment horizontal="right" vertical="center"/>
    </xf>
    <xf numFmtId="0" fontId="35" fillId="4" borderId="18" xfId="0" applyFont="1" applyFill="1" applyBorder="1" applyAlignment="1">
      <alignment horizontal="left" wrapText="1"/>
    </xf>
    <xf numFmtId="43" fontId="54" fillId="4" borderId="29" xfId="31" applyFont="1" applyFill="1" applyBorder="1" applyAlignment="1">
      <alignment horizontal="right" indent="1"/>
    </xf>
    <xf numFmtId="0" fontId="35" fillId="4" borderId="0" xfId="0" applyFont="1" applyFill="1" applyBorder="1" applyAlignment="1">
      <alignment horizontal="right" vertical="center"/>
    </xf>
    <xf numFmtId="0" fontId="54" fillId="4" borderId="44" xfId="0" applyFont="1" applyFill="1" applyBorder="1" applyAlignment="1">
      <alignment horizontal="center"/>
    </xf>
    <xf numFmtId="43" fontId="54" fillId="4" borderId="44" xfId="31" applyFont="1" applyFill="1" applyBorder="1" applyAlignment="1">
      <alignment horizontal="right" indent="1"/>
    </xf>
    <xf numFmtId="0" fontId="47" fillId="4" borderId="42" xfId="0" applyNumberFormat="1" applyFont="1" applyFill="1" applyBorder="1" applyAlignment="1">
      <alignment horizontal="right" vertical="center" wrapText="1"/>
    </xf>
    <xf numFmtId="0" fontId="47" fillId="4" borderId="42" xfId="0" applyNumberFormat="1" applyFont="1" applyFill="1" applyBorder="1" applyAlignment="1">
      <alignment horizontal="center" vertical="top" wrapText="1"/>
    </xf>
    <xf numFmtId="1" fontId="47" fillId="4" borderId="42" xfId="0" applyNumberFormat="1" applyFont="1" applyFill="1" applyBorder="1" applyAlignment="1">
      <alignment horizontal="center" vertical="top" wrapText="1"/>
    </xf>
    <xf numFmtId="1" fontId="47" fillId="4" borderId="42" xfId="0" applyNumberFormat="1" applyFont="1" applyFill="1" applyBorder="1" applyAlignment="1">
      <alignment horizontal="right" vertical="top" wrapText="1"/>
    </xf>
    <xf numFmtId="43" fontId="47" fillId="4" borderId="42" xfId="31" applyFont="1" applyFill="1" applyBorder="1" applyAlignment="1">
      <alignment horizontal="right" vertical="top" wrapText="1"/>
    </xf>
    <xf numFmtId="0" fontId="47" fillId="4" borderId="42" xfId="0" applyFont="1" applyFill="1" applyBorder="1" applyAlignment="1">
      <alignment wrapText="1"/>
    </xf>
    <xf numFmtId="0" fontId="47" fillId="4" borderId="0" xfId="0" applyFont="1" applyFill="1" applyBorder="1" applyAlignment="1">
      <alignment horizontal="right" vertical="center" wrapText="1"/>
    </xf>
    <xf numFmtId="0" fontId="47" fillId="4" borderId="0" xfId="0" applyFont="1" applyFill="1" applyBorder="1" applyAlignment="1">
      <alignment wrapText="1"/>
    </xf>
    <xf numFmtId="43" fontId="49" fillId="4" borderId="0" xfId="31" applyFont="1" applyFill="1" applyBorder="1" applyAlignment="1">
      <alignment horizontal="right" vertical="center"/>
    </xf>
    <xf numFmtId="43" fontId="34" fillId="4" borderId="29" xfId="31" applyFont="1" applyFill="1" applyBorder="1" applyAlignment="1"/>
    <xf numFmtId="0" fontId="47" fillId="4" borderId="42" xfId="0" applyFont="1" applyFill="1" applyBorder="1" applyAlignment="1">
      <alignment horizontal="right" vertical="center"/>
    </xf>
    <xf numFmtId="0" fontId="47" fillId="4" borderId="42" xfId="0" applyFont="1" applyFill="1" applyBorder="1" applyAlignment="1"/>
    <xf numFmtId="43" fontId="49" fillId="4" borderId="42" xfId="31" applyFont="1" applyFill="1" applyBorder="1" applyAlignment="1">
      <alignment horizontal="right" vertical="center"/>
    </xf>
    <xf numFmtId="0" fontId="47" fillId="4" borderId="42" xfId="0" applyFont="1" applyFill="1" applyBorder="1" applyAlignment="1">
      <alignment horizontal="right" vertical="center" wrapText="1"/>
    </xf>
    <xf numFmtId="0" fontId="47" fillId="4" borderId="0" xfId="0" applyNumberFormat="1" applyFont="1" applyFill="1" applyBorder="1" applyAlignment="1">
      <alignment vertical="top" wrapText="1"/>
    </xf>
    <xf numFmtId="0" fontId="47" fillId="4" borderId="0" xfId="0" applyNumberFormat="1" applyFont="1" applyFill="1" applyBorder="1" applyAlignment="1">
      <alignment horizontal="center" vertical="top" wrapText="1"/>
    </xf>
    <xf numFmtId="1" fontId="47" fillId="4" borderId="0" xfId="0" applyNumberFormat="1" applyFont="1" applyFill="1" applyBorder="1" applyAlignment="1">
      <alignment horizontal="center" vertical="top" wrapText="1"/>
    </xf>
    <xf numFmtId="1" fontId="47" fillId="4" borderId="0" xfId="0" applyNumberFormat="1" applyFont="1" applyFill="1" applyBorder="1" applyAlignment="1">
      <alignment horizontal="right" vertical="top" wrapText="1"/>
    </xf>
    <xf numFmtId="43" fontId="35" fillId="4" borderId="44" xfId="31" applyFont="1" applyFill="1" applyBorder="1"/>
    <xf numFmtId="0" fontId="35" fillId="0" borderId="44" xfId="0" applyFont="1" applyFill="1" applyBorder="1" applyAlignment="1">
      <alignment horizontal="right" vertical="center"/>
    </xf>
    <xf numFmtId="3" fontId="35" fillId="0" borderId="44" xfId="0" applyNumberFormat="1" applyFont="1" applyFill="1" applyBorder="1" applyAlignment="1"/>
    <xf numFmtId="165" fontId="35" fillId="0" borderId="44" xfId="0" applyNumberFormat="1" applyFont="1" applyFill="1" applyBorder="1" applyAlignment="1"/>
    <xf numFmtId="0" fontId="35" fillId="0" borderId="20" xfId="0" applyFont="1" applyFill="1" applyBorder="1" applyAlignment="1">
      <alignment horizontal="right" vertical="center"/>
    </xf>
    <xf numFmtId="0" fontId="35" fillId="0" borderId="18" xfId="0" applyFont="1" applyFill="1" applyBorder="1" applyAlignment="1">
      <alignment horizontal="left" wrapText="1"/>
    </xf>
    <xf numFmtId="3" fontId="35" fillId="0" borderId="18" xfId="0" applyNumberFormat="1" applyFont="1" applyFill="1" applyBorder="1" applyAlignment="1"/>
    <xf numFmtId="165" fontId="35" fillId="0" borderId="18" xfId="0" applyNumberFormat="1" applyFont="1" applyFill="1" applyBorder="1" applyAlignment="1"/>
    <xf numFmtId="43" fontId="35" fillId="0" borderId="29" xfId="4" applyNumberFormat="1" applyFont="1" applyFill="1" applyBorder="1" applyAlignment="1"/>
    <xf numFmtId="0" fontId="47" fillId="4" borderId="44" xfId="0" applyNumberFormat="1" applyFont="1" applyFill="1" applyBorder="1" applyAlignment="1">
      <alignment horizontal="right" vertical="center" wrapText="1"/>
    </xf>
    <xf numFmtId="0" fontId="47" fillId="4" borderId="44" xfId="0" applyFont="1" applyFill="1" applyBorder="1" applyAlignment="1">
      <alignment wrapText="1"/>
    </xf>
    <xf numFmtId="43" fontId="49" fillId="4" borderId="44" xfId="31" applyFont="1" applyFill="1" applyBorder="1" applyAlignment="1">
      <alignment vertical="center"/>
    </xf>
    <xf numFmtId="0" fontId="47" fillId="4" borderId="44" xfId="0" applyFont="1" applyFill="1" applyBorder="1" applyAlignment="1">
      <alignment horizontal="right" vertical="center"/>
    </xf>
    <xf numFmtId="4" fontId="69" fillId="4" borderId="22" xfId="0" applyNumberFormat="1" applyFont="1" applyFill="1" applyBorder="1" applyAlignment="1"/>
    <xf numFmtId="0" fontId="6" fillId="0" borderId="44" xfId="0" applyFont="1" applyBorder="1" applyAlignment="1">
      <alignment vertical="center" wrapText="1"/>
    </xf>
    <xf numFmtId="0" fontId="48" fillId="4" borderId="44" xfId="0" applyFont="1" applyFill="1" applyBorder="1" applyAlignment="1">
      <alignment horizontal="left" wrapText="1"/>
    </xf>
    <xf numFmtId="0" fontId="6" fillId="0" borderId="44" xfId="0" applyFont="1" applyBorder="1" applyAlignment="1">
      <alignment wrapText="1"/>
    </xf>
    <xf numFmtId="43" fontId="50" fillId="4" borderId="44" xfId="31" applyFont="1" applyFill="1" applyBorder="1" applyAlignment="1"/>
    <xf numFmtId="0" fontId="4" fillId="0" borderId="22" xfId="0" applyFont="1" applyBorder="1" applyAlignment="1">
      <alignment wrapText="1"/>
    </xf>
    <xf numFmtId="0" fontId="4" fillId="0" borderId="44" xfId="0" applyFont="1" applyBorder="1" applyAlignment="1">
      <alignment wrapText="1"/>
    </xf>
    <xf numFmtId="0" fontId="27" fillId="2" borderId="22" xfId="0" applyFont="1" applyFill="1" applyBorder="1" applyAlignment="1">
      <alignment horizontal="right" vertical="center"/>
    </xf>
    <xf numFmtId="0" fontId="27" fillId="2" borderId="22" xfId="0" applyFont="1" applyFill="1" applyBorder="1" applyAlignment="1">
      <alignment horizontal="center" vertical="center" wrapText="1"/>
    </xf>
    <xf numFmtId="0" fontId="27" fillId="2" borderId="22" xfId="0" applyFont="1" applyFill="1" applyBorder="1" applyAlignment="1">
      <alignment vertical="center"/>
    </xf>
    <xf numFmtId="3" fontId="28" fillId="2" borderId="22" xfId="34" applyNumberFormat="1" applyFont="1" applyFill="1" applyBorder="1" applyAlignment="1">
      <alignment vertical="center" wrapText="1"/>
    </xf>
    <xf numFmtId="165" fontId="28" fillId="2" borderId="22" xfId="34" applyNumberFormat="1" applyFont="1" applyFill="1" applyBorder="1" applyAlignment="1">
      <alignment vertical="center" wrapText="1"/>
    </xf>
    <xf numFmtId="43" fontId="28" fillId="2" borderId="22" xfId="31" applyFont="1" applyFill="1" applyBorder="1" applyAlignment="1">
      <alignment vertical="center" wrapText="1"/>
    </xf>
    <xf numFmtId="0" fontId="34" fillId="0" borderId="45" xfId="0" applyFont="1" applyFill="1" applyBorder="1" applyAlignment="1">
      <alignment horizontal="right" vertical="center"/>
    </xf>
    <xf numFmtId="0" fontId="34" fillId="0" borderId="44" xfId="0" applyFont="1" applyFill="1" applyBorder="1" applyAlignment="1">
      <alignment horizontal="left" wrapText="1"/>
    </xf>
    <xf numFmtId="3" fontId="34" fillId="0" borderId="44" xfId="0" applyNumberFormat="1" applyFont="1" applyFill="1" applyBorder="1" applyAlignment="1"/>
    <xf numFmtId="165" fontId="34" fillId="0" borderId="44" xfId="0" applyNumberFormat="1" applyFont="1" applyFill="1" applyBorder="1" applyAlignment="1"/>
    <xf numFmtId="43" fontId="34" fillId="0" borderId="48" xfId="4" applyNumberFormat="1" applyFont="1" applyFill="1" applyBorder="1" applyAlignment="1"/>
    <xf numFmtId="0" fontId="47" fillId="4" borderId="45" xfId="0" applyNumberFormat="1" applyFont="1" applyFill="1" applyBorder="1" applyAlignment="1">
      <alignment horizontal="right" vertical="center" wrapText="1"/>
    </xf>
    <xf numFmtId="0" fontId="47" fillId="4" borderId="44" xfId="0" applyFont="1" applyFill="1" applyBorder="1" applyAlignment="1"/>
    <xf numFmtId="0" fontId="47" fillId="4" borderId="44" xfId="0" applyNumberFormat="1" applyFont="1" applyFill="1" applyBorder="1" applyAlignment="1">
      <alignment vertical="top" wrapText="1"/>
    </xf>
    <xf numFmtId="1" fontId="47" fillId="4" borderId="44" xfId="0" applyNumberFormat="1" applyFont="1" applyFill="1" applyBorder="1" applyAlignment="1">
      <alignment vertical="top" wrapText="1"/>
    </xf>
    <xf numFmtId="43" fontId="47" fillId="4" borderId="44" xfId="31" applyFont="1" applyFill="1" applyBorder="1" applyAlignment="1">
      <alignment vertical="top" wrapText="1"/>
    </xf>
    <xf numFmtId="0" fontId="27" fillId="4" borderId="22" xfId="0" quotePrefix="1" applyFont="1" applyFill="1" applyBorder="1" applyAlignment="1">
      <alignment horizontal="right" vertical="center" wrapText="1"/>
    </xf>
    <xf numFmtId="4" fontId="34" fillId="0" borderId="44" xfId="0" applyNumberFormat="1" applyFont="1" applyFill="1" applyBorder="1" applyAlignment="1">
      <alignment horizontal="center"/>
    </xf>
    <xf numFmtId="43" fontId="34" fillId="0" borderId="48" xfId="4" applyFont="1" applyFill="1" applyBorder="1" applyAlignment="1">
      <alignment horizontal="right"/>
    </xf>
    <xf numFmtId="43" fontId="49" fillId="4" borderId="48" xfId="31" applyFont="1" applyFill="1" applyBorder="1" applyAlignment="1">
      <alignment vertical="center"/>
    </xf>
    <xf numFmtId="0" fontId="48" fillId="4" borderId="44" xfId="0" applyFont="1" applyFill="1" applyBorder="1" applyAlignment="1">
      <alignment horizontal="right" vertical="center"/>
    </xf>
    <xf numFmtId="0" fontId="48" fillId="4" borderId="44" xfId="0" applyFont="1" applyFill="1" applyBorder="1" applyAlignment="1">
      <alignment vertical="center" wrapText="1"/>
    </xf>
    <xf numFmtId="0" fontId="48" fillId="4" borderId="44" xfId="0" applyFont="1" applyFill="1" applyBorder="1" applyAlignment="1">
      <alignment vertical="center"/>
    </xf>
    <xf numFmtId="43" fontId="48" fillId="4" borderId="44" xfId="31" applyFont="1" applyFill="1" applyBorder="1" applyAlignment="1">
      <alignment vertical="center"/>
    </xf>
    <xf numFmtId="0" fontId="49" fillId="4" borderId="44" xfId="0" applyFont="1" applyFill="1" applyBorder="1" applyAlignment="1">
      <alignment vertical="center" wrapText="1"/>
    </xf>
    <xf numFmtId="0" fontId="49" fillId="4" borderId="44" xfId="0" applyFont="1" applyFill="1" applyBorder="1" applyAlignment="1">
      <alignment vertical="center"/>
    </xf>
    <xf numFmtId="3" fontId="49" fillId="4" borderId="44" xfId="0" applyNumberFormat="1" applyFont="1" applyFill="1" applyBorder="1" applyAlignment="1">
      <alignment vertical="center"/>
    </xf>
    <xf numFmtId="0" fontId="6" fillId="4" borderId="44" xfId="0" applyFont="1" applyFill="1" applyBorder="1" applyAlignment="1">
      <alignment wrapText="1"/>
    </xf>
    <xf numFmtId="0" fontId="6" fillId="4" borderId="44" xfId="0" applyFont="1" applyFill="1" applyBorder="1" applyAlignment="1">
      <alignment horizontal="right" vertical="center"/>
    </xf>
    <xf numFmtId="4" fontId="6" fillId="4" borderId="44" xfId="0" applyNumberFormat="1" applyFont="1" applyFill="1" applyBorder="1" applyAlignment="1">
      <alignment wrapText="1"/>
    </xf>
    <xf numFmtId="0" fontId="6" fillId="4" borderId="44" xfId="0" applyFont="1" applyFill="1" applyBorder="1" applyAlignment="1"/>
    <xf numFmtId="43" fontId="6" fillId="4" borderId="44" xfId="31" applyFont="1" applyFill="1" applyBorder="1" applyAlignment="1"/>
    <xf numFmtId="0" fontId="26" fillId="0" borderId="22" xfId="0" applyFont="1" applyBorder="1" applyAlignment="1">
      <alignment wrapText="1"/>
    </xf>
    <xf numFmtId="4" fontId="53" fillId="4" borderId="18" xfId="0" applyNumberFormat="1" applyFont="1" applyFill="1" applyBorder="1" applyAlignment="1">
      <alignment horizontal="left" wrapText="1"/>
    </xf>
    <xf numFmtId="0" fontId="26" fillId="0" borderId="0" xfId="0" applyFont="1" applyFill="1" applyBorder="1" applyAlignment="1">
      <alignment wrapText="1"/>
    </xf>
    <xf numFmtId="169" fontId="34" fillId="0" borderId="32" xfId="31" applyNumberFormat="1" applyFont="1" applyFill="1" applyBorder="1" applyAlignment="1" applyProtection="1">
      <alignment horizontal="center" vertical="center" wrapText="1"/>
    </xf>
    <xf numFmtId="2" fontId="34" fillId="0" borderId="32" xfId="0" applyNumberFormat="1" applyFont="1" applyFill="1" applyBorder="1" applyAlignment="1">
      <alignment horizontal="left" vertical="center" wrapText="1"/>
    </xf>
    <xf numFmtId="166" fontId="34" fillId="0" borderId="32" xfId="0" applyNumberFormat="1" applyFont="1" applyFill="1" applyBorder="1" applyAlignment="1">
      <alignment horizontal="center" vertical="center" wrapText="1"/>
    </xf>
    <xf numFmtId="170" fontId="34" fillId="0" borderId="32" xfId="0" applyNumberFormat="1" applyFont="1" applyFill="1" applyBorder="1" applyAlignment="1">
      <alignment vertical="center" wrapText="1"/>
    </xf>
    <xf numFmtId="167" fontId="34" fillId="0" borderId="32" xfId="31" applyNumberFormat="1" applyFont="1" applyFill="1" applyBorder="1" applyAlignment="1" applyProtection="1">
      <alignment horizontal="center" vertical="center" wrapText="1"/>
    </xf>
    <xf numFmtId="44" fontId="34" fillId="0" borderId="32" xfId="38" applyFont="1" applyFill="1" applyBorder="1" applyAlignment="1" applyProtection="1">
      <alignment horizontal="center" vertical="center" wrapText="1"/>
    </xf>
    <xf numFmtId="0" fontId="34" fillId="4" borderId="3" xfId="0" applyFont="1" applyFill="1" applyBorder="1" applyAlignment="1">
      <alignment horizontal="right" vertical="center"/>
    </xf>
    <xf numFmtId="0" fontId="36" fillId="4" borderId="2" xfId="0" applyFont="1" applyFill="1" applyBorder="1" applyAlignment="1">
      <alignment horizontal="left" wrapText="1"/>
    </xf>
    <xf numFmtId="4" fontId="35" fillId="4" borderId="2" xfId="0" applyNumberFormat="1" applyFont="1" applyFill="1" applyBorder="1" applyAlignment="1">
      <alignment horizontal="center"/>
    </xf>
    <xf numFmtId="3" fontId="35" fillId="4" borderId="2" xfId="0" applyNumberFormat="1" applyFont="1" applyFill="1" applyBorder="1" applyAlignment="1">
      <alignment horizontal="center"/>
    </xf>
    <xf numFmtId="165" fontId="35" fillId="4" borderId="2" xfId="0" applyNumberFormat="1" applyFont="1" applyFill="1" applyBorder="1" applyAlignment="1">
      <alignment horizontal="center"/>
    </xf>
    <xf numFmtId="43" fontId="34" fillId="4" borderId="2" xfId="33" applyFont="1" applyFill="1" applyBorder="1" applyAlignment="1"/>
    <xf numFmtId="0" fontId="3" fillId="4" borderId="0" xfId="0" applyFont="1" applyFill="1" applyBorder="1" applyAlignment="1"/>
    <xf numFmtId="0" fontId="35" fillId="4" borderId="32" xfId="0" applyFont="1" applyFill="1" applyBorder="1" applyAlignment="1">
      <alignment horizontal="center"/>
    </xf>
    <xf numFmtId="0" fontId="37" fillId="4" borderId="32" xfId="0" applyFont="1" applyFill="1" applyBorder="1" applyAlignment="1">
      <alignment horizontal="left" wrapText="1"/>
    </xf>
    <xf numFmtId="4" fontId="35" fillId="4" borderId="32" xfId="0" applyNumberFormat="1" applyFont="1" applyFill="1" applyBorder="1" applyAlignment="1">
      <alignment horizontal="center"/>
    </xf>
    <xf numFmtId="165" fontId="35" fillId="4" borderId="32" xfId="0" applyNumberFormat="1" applyFont="1" applyFill="1" applyBorder="1" applyAlignment="1">
      <alignment horizontal="center"/>
    </xf>
    <xf numFmtId="43" fontId="35" fillId="4" borderId="32" xfId="4" applyFont="1" applyFill="1" applyBorder="1" applyAlignment="1">
      <alignment horizontal="right"/>
    </xf>
    <xf numFmtId="0" fontId="3" fillId="4" borderId="32" xfId="0" applyFont="1" applyFill="1" applyBorder="1" applyAlignment="1">
      <alignment horizontal="center"/>
    </xf>
    <xf numFmtId="4" fontId="3" fillId="4" borderId="32" xfId="0" applyNumberFormat="1" applyFont="1" applyFill="1" applyBorder="1" applyAlignment="1">
      <alignment horizontal="center"/>
    </xf>
    <xf numFmtId="3" fontId="35" fillId="4" borderId="44" xfId="0" applyNumberFormat="1" applyFont="1" applyFill="1" applyBorder="1" applyAlignment="1">
      <alignment horizontal="center" vertical="center"/>
    </xf>
    <xf numFmtId="43" fontId="3" fillId="4" borderId="32" xfId="4" applyFont="1" applyFill="1" applyBorder="1" applyAlignment="1">
      <alignment horizontal="right"/>
    </xf>
    <xf numFmtId="0" fontId="3" fillId="4" borderId="0" xfId="0" applyFont="1" applyFill="1" applyAlignment="1"/>
    <xf numFmtId="3" fontId="35" fillId="0" borderId="44" xfId="0" applyNumberFormat="1" applyFont="1" applyFill="1" applyBorder="1" applyAlignment="1">
      <alignment horizontal="center" vertical="center"/>
    </xf>
    <xf numFmtId="165" fontId="35" fillId="0" borderId="44" xfId="0" applyNumberFormat="1" applyFont="1" applyFill="1" applyBorder="1" applyAlignment="1">
      <alignment horizontal="center" vertical="center"/>
    </xf>
    <xf numFmtId="43" fontId="35" fillId="0" borderId="44" xfId="4" applyNumberFormat="1" applyFont="1" applyFill="1" applyBorder="1" applyAlignment="1">
      <alignment vertical="center"/>
    </xf>
    <xf numFmtId="0" fontId="35" fillId="0" borderId="46" xfId="0" applyFont="1" applyFill="1" applyBorder="1" applyAlignment="1">
      <alignment horizontal="left" wrapText="1"/>
    </xf>
    <xf numFmtId="0" fontId="35" fillId="4" borderId="32" xfId="0" applyFont="1" applyFill="1" applyBorder="1" applyAlignment="1">
      <alignment horizontal="left" wrapText="1"/>
    </xf>
    <xf numFmtId="0" fontId="36" fillId="4" borderId="32" xfId="0" applyFont="1" applyFill="1" applyBorder="1" applyAlignment="1">
      <alignment horizontal="left" wrapText="1"/>
    </xf>
    <xf numFmtId="0" fontId="34" fillId="4" borderId="32" xfId="0" applyFont="1" applyFill="1" applyBorder="1" applyAlignment="1">
      <alignment horizontal="left" wrapText="1"/>
    </xf>
    <xf numFmtId="4" fontId="34" fillId="4" borderId="32" xfId="0" applyNumberFormat="1" applyFont="1" applyFill="1" applyBorder="1" applyAlignment="1">
      <alignment horizontal="center"/>
    </xf>
    <xf numFmtId="165" fontId="34" fillId="4" borderId="32" xfId="0" applyNumberFormat="1" applyFont="1" applyFill="1" applyBorder="1" applyAlignment="1">
      <alignment horizontal="center"/>
    </xf>
    <xf numFmtId="43" fontId="34" fillId="4" borderId="32" xfId="4" applyFont="1" applyFill="1" applyBorder="1" applyAlignment="1">
      <alignment horizontal="right"/>
    </xf>
    <xf numFmtId="0" fontId="34" fillId="4" borderId="0" xfId="0" applyFont="1" applyFill="1" applyAlignment="1"/>
    <xf numFmtId="0" fontId="35" fillId="0" borderId="4" xfId="0" applyFont="1" applyFill="1" applyBorder="1" applyAlignment="1">
      <alignment horizontal="right" vertical="center"/>
    </xf>
    <xf numFmtId="0" fontId="35" fillId="0" borderId="0" xfId="0" applyFont="1" applyFill="1" applyBorder="1" applyAlignment="1">
      <alignment wrapText="1"/>
    </xf>
    <xf numFmtId="0" fontId="35" fillId="0" borderId="0" xfId="0" applyFont="1" applyFill="1" applyBorder="1" applyAlignment="1">
      <alignment horizontal="center"/>
    </xf>
    <xf numFmtId="0" fontId="0" fillId="0" borderId="0" xfId="0" applyFont="1" applyFill="1" applyBorder="1" applyAlignment="1">
      <alignment horizontal="center"/>
    </xf>
    <xf numFmtId="0" fontId="35" fillId="0" borderId="0" xfId="0" applyFont="1" applyFill="1" applyBorder="1"/>
    <xf numFmtId="43" fontId="35" fillId="0" borderId="5" xfId="31" applyFont="1" applyFill="1" applyBorder="1"/>
    <xf numFmtId="0" fontId="37" fillId="0" borderId="32" xfId="27" applyFont="1" applyFill="1" applyBorder="1" applyAlignment="1">
      <alignment horizontal="left" wrapText="1"/>
    </xf>
    <xf numFmtId="0" fontId="37" fillId="0" borderId="32" xfId="0" applyFont="1" applyFill="1" applyBorder="1" applyAlignment="1">
      <alignment horizontal="left" wrapText="1"/>
    </xf>
    <xf numFmtId="0" fontId="35" fillId="0" borderId="32" xfId="0" applyFont="1" applyFill="1" applyBorder="1" applyAlignment="1">
      <alignment horizontal="left" wrapText="1"/>
    </xf>
    <xf numFmtId="1" fontId="64" fillId="4" borderId="42" xfId="0" applyNumberFormat="1" applyFont="1" applyFill="1" applyBorder="1" applyAlignment="1">
      <alignment horizontal="center" vertical="top" wrapText="1"/>
    </xf>
    <xf numFmtId="0" fontId="34" fillId="4" borderId="46" xfId="0" applyFont="1" applyFill="1" applyBorder="1" applyAlignment="1">
      <alignment horizontal="left" wrapText="1"/>
    </xf>
    <xf numFmtId="4" fontId="34" fillId="4" borderId="46" xfId="0" applyNumberFormat="1" applyFont="1" applyFill="1" applyBorder="1" applyAlignment="1">
      <alignment horizontal="center"/>
    </xf>
    <xf numFmtId="165" fontId="34" fillId="4" borderId="46" xfId="0" applyNumberFormat="1" applyFont="1" applyFill="1" applyBorder="1" applyAlignment="1">
      <alignment horizontal="center"/>
    </xf>
    <xf numFmtId="43" fontId="34" fillId="4" borderId="46" xfId="4" applyFont="1" applyFill="1" applyBorder="1" applyAlignment="1">
      <alignment horizontal="right"/>
    </xf>
    <xf numFmtId="0" fontId="34" fillId="4" borderId="32" xfId="0" applyFont="1" applyFill="1" applyBorder="1" applyAlignment="1">
      <alignment horizontal="center"/>
    </xf>
    <xf numFmtId="0" fontId="37" fillId="4" borderId="32" xfId="27" applyFont="1" applyFill="1" applyBorder="1" applyAlignment="1">
      <alignment horizontal="left" wrapText="1"/>
    </xf>
    <xf numFmtId="3" fontId="35" fillId="0" borderId="46" xfId="0" applyNumberFormat="1" applyFont="1" applyFill="1" applyBorder="1" applyAlignment="1">
      <alignment horizontal="center" vertical="center"/>
    </xf>
    <xf numFmtId="165" fontId="35" fillId="0" borderId="46" xfId="0" applyNumberFormat="1" applyFont="1" applyFill="1" applyBorder="1" applyAlignment="1">
      <alignment horizontal="center" vertical="center"/>
    </xf>
    <xf numFmtId="43" fontId="35" fillId="0" borderId="46" xfId="4" applyNumberFormat="1" applyFont="1" applyFill="1" applyBorder="1" applyAlignment="1">
      <alignment vertical="center"/>
    </xf>
    <xf numFmtId="0" fontId="34" fillId="0" borderId="0" xfId="0" applyFont="1" applyFill="1" applyBorder="1" applyAlignment="1">
      <alignment horizontal="right" vertical="center"/>
    </xf>
    <xf numFmtId="0" fontId="34" fillId="0" borderId="0" xfId="0" applyFont="1" applyFill="1" applyBorder="1" applyAlignment="1">
      <alignment horizontal="left" wrapText="1"/>
    </xf>
    <xf numFmtId="3" fontId="34" fillId="0" borderId="0" xfId="0" applyNumberFormat="1" applyFont="1" applyFill="1" applyBorder="1" applyAlignment="1">
      <alignment horizontal="center"/>
    </xf>
    <xf numFmtId="165" fontId="34" fillId="0" borderId="0" xfId="0" applyNumberFormat="1" applyFont="1" applyFill="1" applyBorder="1" applyAlignment="1">
      <alignment horizontal="center"/>
    </xf>
    <xf numFmtId="43" fontId="34" fillId="0" borderId="0" xfId="4" applyNumberFormat="1" applyFont="1" applyFill="1" applyBorder="1" applyAlignment="1"/>
    <xf numFmtId="0" fontId="41" fillId="0" borderId="17" xfId="0" applyFont="1" applyFill="1" applyBorder="1" applyAlignment="1">
      <alignment horizontal="right" vertical="center"/>
    </xf>
    <xf numFmtId="0" fontId="41" fillId="0" borderId="18" xfId="0" applyFont="1" applyFill="1" applyBorder="1" applyAlignment="1">
      <alignment wrapText="1"/>
    </xf>
    <xf numFmtId="0" fontId="41" fillId="0" borderId="18" xfId="0" applyFont="1" applyFill="1" applyBorder="1" applyAlignment="1">
      <alignment horizontal="center"/>
    </xf>
    <xf numFmtId="0" fontId="41" fillId="0" borderId="18" xfId="0" applyFont="1" applyFill="1" applyBorder="1"/>
    <xf numFmtId="43" fontId="26" fillId="0" borderId="19" xfId="31" applyFont="1" applyFill="1" applyBorder="1"/>
    <xf numFmtId="0" fontId="34" fillId="0" borderId="4" xfId="0" applyFont="1" applyFill="1" applyBorder="1" applyAlignment="1">
      <alignment horizontal="right" vertical="center"/>
    </xf>
    <xf numFmtId="0" fontId="34" fillId="0" borderId="0" xfId="0" applyFont="1" applyFill="1" applyBorder="1" applyAlignment="1">
      <alignment wrapText="1"/>
    </xf>
    <xf numFmtId="0" fontId="34" fillId="0" borderId="0" xfId="0" applyFont="1" applyFill="1" applyBorder="1" applyAlignment="1">
      <alignment horizontal="center"/>
    </xf>
    <xf numFmtId="0" fontId="41" fillId="0" borderId="0" xfId="0" applyFont="1" applyFill="1" applyBorder="1" applyAlignment="1">
      <alignment horizontal="center"/>
    </xf>
    <xf numFmtId="0" fontId="34" fillId="0" borderId="0" xfId="0" applyFont="1" applyFill="1" applyBorder="1"/>
    <xf numFmtId="43" fontId="34" fillId="0" borderId="5" xfId="31" applyFont="1" applyFill="1" applyBorder="1"/>
    <xf numFmtId="0" fontId="41" fillId="0" borderId="17" xfId="19" applyFont="1" applyFill="1" applyBorder="1" applyAlignment="1">
      <alignment horizontal="right" vertical="center"/>
    </xf>
    <xf numFmtId="0" fontId="41" fillId="0" borderId="18" xfId="19" applyFont="1" applyFill="1" applyBorder="1" applyAlignment="1">
      <alignment wrapText="1"/>
    </xf>
    <xf numFmtId="0" fontId="41" fillId="0" borderId="18" xfId="19" applyFont="1" applyFill="1" applyBorder="1" applyAlignment="1">
      <alignment horizontal="center"/>
    </xf>
    <xf numFmtId="4" fontId="35" fillId="0" borderId="0" xfId="0" applyNumberFormat="1" applyFont="1"/>
    <xf numFmtId="43" fontId="35" fillId="0" borderId="0" xfId="0" applyNumberFormat="1" applyFont="1"/>
    <xf numFmtId="0" fontId="34" fillId="0" borderId="0" xfId="0" applyFont="1" applyAlignment="1">
      <alignment vertical="center"/>
    </xf>
    <xf numFmtId="43" fontId="34" fillId="0" borderId="0" xfId="0" applyNumberFormat="1" applyFont="1"/>
    <xf numFmtId="43" fontId="26" fillId="4" borderId="19" xfId="33" applyFont="1" applyFill="1" applyBorder="1"/>
    <xf numFmtId="0" fontId="2" fillId="4" borderId="0" xfId="0" applyFont="1" applyFill="1" applyAlignment="1"/>
    <xf numFmtId="0" fontId="2" fillId="0" borderId="15" xfId="0" applyFont="1" applyFill="1" applyBorder="1" applyAlignment="1"/>
    <xf numFmtId="0" fontId="2" fillId="4" borderId="0" xfId="0" applyFont="1" applyFill="1" applyBorder="1" applyAlignment="1"/>
    <xf numFmtId="0" fontId="2" fillId="0" borderId="0" xfId="0" applyFont="1" applyFill="1" applyBorder="1" applyAlignment="1"/>
    <xf numFmtId="0" fontId="64" fillId="4" borderId="0" xfId="0" applyNumberFormat="1" applyFont="1" applyFill="1" applyAlignment="1">
      <alignment vertical="top" wrapText="1"/>
    </xf>
    <xf numFmtId="0" fontId="64" fillId="5" borderId="0" xfId="0" applyNumberFormat="1" applyFont="1" applyFill="1" applyAlignment="1">
      <alignment vertical="top" wrapText="1"/>
    </xf>
    <xf numFmtId="0" fontId="64" fillId="5" borderId="0" xfId="0" applyFont="1" applyFill="1" applyAlignment="1">
      <alignment vertical="top" wrapText="1"/>
    </xf>
    <xf numFmtId="0" fontId="64" fillId="4" borderId="0" xfId="0" applyFont="1" applyFill="1" applyAlignment="1"/>
    <xf numFmtId="0" fontId="64" fillId="5" borderId="0" xfId="0" applyFont="1" applyFill="1" applyAlignment="1"/>
    <xf numFmtId="0" fontId="65" fillId="4" borderId="0" xfId="0" applyNumberFormat="1" applyFont="1" applyFill="1" applyAlignment="1">
      <alignment vertical="top" wrapText="1"/>
    </xf>
    <xf numFmtId="0" fontId="65" fillId="5" borderId="0" xfId="0" applyNumberFormat="1" applyFont="1" applyFill="1" applyAlignment="1">
      <alignment vertical="top" wrapText="1"/>
    </xf>
    <xf numFmtId="0" fontId="65" fillId="5" borderId="0" xfId="0" applyFont="1" applyFill="1" applyAlignment="1">
      <alignment vertical="top" wrapText="1"/>
    </xf>
    <xf numFmtId="0" fontId="65" fillId="4" borderId="0" xfId="0" applyFont="1" applyFill="1" applyAlignment="1"/>
    <xf numFmtId="0" fontId="65" fillId="5" borderId="0" xfId="0" applyFont="1" applyFill="1" applyAlignment="1"/>
    <xf numFmtId="0" fontId="36" fillId="4" borderId="0" xfId="0" applyFont="1" applyFill="1" applyAlignment="1"/>
    <xf numFmtId="0" fontId="36" fillId="5" borderId="0" xfId="0" applyFont="1" applyFill="1" applyAlignment="1"/>
    <xf numFmtId="0" fontId="35" fillId="5" borderId="0" xfId="0" applyFont="1" applyFill="1" applyAlignment="1"/>
    <xf numFmtId="0" fontId="34" fillId="0" borderId="0" xfId="0" applyFont="1" applyFill="1" applyAlignment="1"/>
    <xf numFmtId="0" fontId="2" fillId="4" borderId="45" xfId="0" applyFont="1" applyFill="1" applyBorder="1" applyAlignment="1"/>
    <xf numFmtId="0" fontId="26" fillId="2" borderId="44" xfId="0" applyFont="1" applyFill="1" applyBorder="1" applyAlignment="1">
      <alignment horizontal="right" vertical="center"/>
    </xf>
    <xf numFmtId="0" fontId="26" fillId="2" borderId="44" xfId="0" applyFont="1" applyFill="1" applyBorder="1" applyAlignment="1">
      <alignment horizontal="center" vertical="center"/>
    </xf>
    <xf numFmtId="3" fontId="34" fillId="2" borderId="44" xfId="34" applyNumberFormat="1" applyFont="1" applyFill="1" applyBorder="1" applyAlignment="1">
      <alignment horizontal="center" vertical="center"/>
    </xf>
    <xf numFmtId="165" fontId="34" fillId="2" borderId="44" xfId="34" applyNumberFormat="1" applyFont="1" applyFill="1" applyBorder="1" applyAlignment="1">
      <alignment horizontal="center" vertical="center"/>
    </xf>
    <xf numFmtId="168" fontId="34" fillId="2" borderId="44" xfId="31" applyNumberFormat="1" applyFont="1" applyFill="1" applyBorder="1" applyAlignment="1">
      <alignment horizontal="center" vertical="center"/>
    </xf>
    <xf numFmtId="0" fontId="2" fillId="0" borderId="44" xfId="0" applyFont="1" applyFill="1" applyBorder="1" applyAlignment="1">
      <alignment horizontal="right" vertical="center"/>
    </xf>
    <xf numFmtId="0" fontId="36" fillId="0" borderId="44" xfId="0" applyFont="1" applyFill="1" applyBorder="1" applyAlignment="1">
      <alignment horizontal="left"/>
    </xf>
    <xf numFmtId="0" fontId="36" fillId="0" borderId="44" xfId="0" applyFont="1" applyFill="1" applyBorder="1" applyAlignment="1">
      <alignment horizontal="center" vertical="center"/>
    </xf>
    <xf numFmtId="43" fontId="2" fillId="0" borderId="44" xfId="0" applyNumberFormat="1" applyFont="1" applyFill="1" applyBorder="1" applyAlignment="1"/>
    <xf numFmtId="0" fontId="36" fillId="0" borderId="44" xfId="0" applyFont="1" applyFill="1" applyBorder="1" applyAlignment="1">
      <alignment horizontal="left" vertical="center"/>
    </xf>
    <xf numFmtId="0" fontId="35" fillId="0" borderId="44" xfId="19" applyFont="1" applyFill="1" applyBorder="1" applyAlignment="1">
      <alignment horizontal="right" vertical="center"/>
    </xf>
    <xf numFmtId="0" fontId="36" fillId="0" borderId="44" xfId="19" applyFont="1" applyFill="1" applyBorder="1" applyAlignment="1">
      <alignment horizontal="left"/>
    </xf>
    <xf numFmtId="4" fontId="35" fillId="0" borderId="44" xfId="19" applyNumberFormat="1" applyFont="1" applyFill="1" applyBorder="1" applyAlignment="1">
      <alignment horizontal="center"/>
    </xf>
    <xf numFmtId="3" fontId="35" fillId="0" borderId="44" xfId="19" applyNumberFormat="1" applyFont="1" applyFill="1" applyBorder="1" applyAlignment="1">
      <alignment horizontal="center"/>
    </xf>
    <xf numFmtId="165" fontId="35" fillId="0" borderId="44" xfId="19" applyNumberFormat="1" applyFont="1" applyFill="1" applyBorder="1" applyAlignment="1">
      <alignment horizontal="center"/>
    </xf>
    <xf numFmtId="0" fontId="35" fillId="0" borderId="44" xfId="19" applyFont="1" applyFill="1" applyBorder="1" applyAlignment="1"/>
    <xf numFmtId="0" fontId="35" fillId="0" borderId="44" xfId="19" applyFont="1" applyFill="1" applyBorder="1" applyAlignment="1">
      <alignment horizontal="center"/>
    </xf>
    <xf numFmtId="43" fontId="2" fillId="0" borderId="44" xfId="33" applyFont="1" applyFill="1" applyBorder="1" applyAlignment="1"/>
    <xf numFmtId="0" fontId="26" fillId="0" borderId="44" xfId="19" applyFont="1" applyFill="1" applyBorder="1" applyAlignment="1">
      <alignment horizontal="right" vertical="center"/>
    </xf>
    <xf numFmtId="0" fontId="26" fillId="0" borderId="44" xfId="19" applyFont="1" applyFill="1" applyBorder="1" applyAlignment="1"/>
    <xf numFmtId="0" fontId="35" fillId="4" borderId="44" xfId="0" applyFont="1" applyFill="1" applyBorder="1" applyAlignment="1">
      <alignment horizontal="center"/>
    </xf>
    <xf numFmtId="0" fontId="37" fillId="4" borderId="44" xfId="0" applyFont="1" applyFill="1" applyBorder="1" applyAlignment="1">
      <alignment horizontal="left"/>
    </xf>
    <xf numFmtId="43" fontId="35" fillId="4" borderId="44" xfId="4" applyFont="1" applyFill="1" applyBorder="1" applyAlignment="1">
      <alignment horizontal="right"/>
    </xf>
    <xf numFmtId="0" fontId="2" fillId="4" borderId="44" xfId="0" applyFont="1" applyFill="1" applyBorder="1" applyAlignment="1">
      <alignment horizontal="center"/>
    </xf>
    <xf numFmtId="0" fontId="35" fillId="0" borderId="44" xfId="0" applyFont="1" applyFill="1" applyBorder="1" applyAlignment="1">
      <alignment horizontal="left"/>
    </xf>
    <xf numFmtId="4" fontId="2" fillId="4" borderId="44" xfId="0" applyNumberFormat="1" applyFont="1" applyFill="1" applyBorder="1" applyAlignment="1">
      <alignment horizontal="center"/>
    </xf>
    <xf numFmtId="43" fontId="2" fillId="4" borderId="44" xfId="4" applyFont="1" applyFill="1" applyBorder="1" applyAlignment="1">
      <alignment horizontal="right"/>
    </xf>
    <xf numFmtId="0" fontId="35" fillId="4" borderId="44" xfId="0" applyFont="1" applyFill="1" applyBorder="1" applyAlignment="1">
      <alignment horizontal="left"/>
    </xf>
    <xf numFmtId="0" fontId="36" fillId="4" borderId="44" xfId="0" applyFont="1" applyFill="1" applyBorder="1" applyAlignment="1">
      <alignment horizontal="left"/>
    </xf>
    <xf numFmtId="2" fontId="64" fillId="4" borderId="44" xfId="0" applyNumberFormat="1" applyFont="1" applyFill="1" applyBorder="1" applyAlignment="1">
      <alignment horizontal="right" vertical="center"/>
    </xf>
    <xf numFmtId="0" fontId="64" fillId="4" borderId="44" xfId="0" applyFont="1" applyFill="1" applyBorder="1" applyAlignment="1"/>
    <xf numFmtId="43" fontId="2" fillId="4" borderId="44" xfId="31" applyFont="1" applyFill="1" applyBorder="1" applyAlignment="1">
      <alignment horizontal="right" vertical="center"/>
    </xf>
    <xf numFmtId="0" fontId="26" fillId="0" borderId="44" xfId="0" applyFont="1" applyFill="1" applyBorder="1" applyAlignment="1">
      <alignment horizontal="right" vertical="center"/>
    </xf>
    <xf numFmtId="0" fontId="26" fillId="0" borderId="44" xfId="0" applyFont="1" applyFill="1" applyBorder="1" applyAlignment="1"/>
    <xf numFmtId="0" fontId="26" fillId="0" borderId="44" xfId="0" applyFont="1" applyFill="1" applyBorder="1" applyAlignment="1">
      <alignment horizontal="center"/>
    </xf>
    <xf numFmtId="43" fontId="2" fillId="0" borderId="44" xfId="31" applyFont="1" applyFill="1" applyBorder="1" applyAlignment="1"/>
    <xf numFmtId="0" fontId="64" fillId="4" borderId="44" xfId="0" applyFont="1" applyFill="1" applyBorder="1" applyAlignment="1">
      <alignment horizontal="right" vertical="center"/>
    </xf>
    <xf numFmtId="0" fontId="65" fillId="4" borderId="44" xfId="0" applyFont="1" applyFill="1" applyBorder="1" applyAlignment="1"/>
    <xf numFmtId="43" fontId="64" fillId="4" borderId="44" xfId="31" applyFont="1" applyFill="1" applyBorder="1" applyAlignment="1"/>
    <xf numFmtId="0" fontId="64" fillId="4" borderId="44" xfId="0" applyNumberFormat="1" applyFont="1" applyFill="1" applyBorder="1" applyAlignment="1">
      <alignment horizontal="right" vertical="center"/>
    </xf>
    <xf numFmtId="0" fontId="64" fillId="4" borderId="44" xfId="0" applyNumberFormat="1" applyFont="1" applyFill="1" applyBorder="1" applyAlignment="1">
      <alignment vertical="top"/>
    </xf>
    <xf numFmtId="0" fontId="64" fillId="4" borderId="44" xfId="0" applyNumberFormat="1" applyFont="1" applyFill="1" applyBorder="1" applyAlignment="1">
      <alignment horizontal="center" vertical="top"/>
    </xf>
    <xf numFmtId="1" fontId="64" fillId="4" borderId="44" xfId="0" applyNumberFormat="1" applyFont="1" applyFill="1" applyBorder="1" applyAlignment="1">
      <alignment horizontal="center" vertical="top"/>
    </xf>
    <xf numFmtId="1" fontId="64" fillId="4" borderId="44" xfId="0" applyNumberFormat="1" applyFont="1" applyFill="1" applyBorder="1" applyAlignment="1">
      <alignment horizontal="right" vertical="top"/>
    </xf>
    <xf numFmtId="43" fontId="64" fillId="4" borderId="44" xfId="31" applyFont="1" applyFill="1" applyBorder="1" applyAlignment="1">
      <alignment horizontal="right" vertical="top"/>
    </xf>
    <xf numFmtId="0" fontId="26" fillId="4" borderId="44" xfId="0" applyFont="1" applyFill="1" applyBorder="1" applyAlignment="1"/>
    <xf numFmtId="0" fontId="64" fillId="4" borderId="44" xfId="19" applyFont="1" applyFill="1" applyBorder="1" applyAlignment="1">
      <alignment horizontal="right" vertical="center"/>
    </xf>
    <xf numFmtId="0" fontId="26" fillId="4" borderId="44" xfId="19" applyFont="1" applyFill="1" applyBorder="1" applyAlignment="1"/>
    <xf numFmtId="0" fontId="64" fillId="4" borderId="44" xfId="19" applyFont="1" applyFill="1" applyBorder="1" applyAlignment="1"/>
    <xf numFmtId="43" fontId="26" fillId="0" borderId="44" xfId="33" applyFont="1" applyFill="1" applyBorder="1" applyAlignment="1"/>
    <xf numFmtId="0" fontId="26" fillId="2" borderId="44" xfId="19" applyFont="1" applyFill="1" applyBorder="1" applyAlignment="1">
      <alignment horizontal="right" vertical="center"/>
    </xf>
    <xf numFmtId="0" fontId="26" fillId="2" borderId="44" xfId="19" applyFont="1" applyFill="1" applyBorder="1" applyAlignment="1">
      <alignment horizontal="center" vertical="center"/>
    </xf>
    <xf numFmtId="43" fontId="34" fillId="2" borderId="44" xfId="33" applyFont="1" applyFill="1" applyBorder="1" applyAlignment="1">
      <alignment horizontal="center" vertical="center"/>
    </xf>
    <xf numFmtId="0" fontId="34" fillId="0" borderId="44" xfId="19" applyFont="1" applyFill="1" applyBorder="1" applyAlignment="1">
      <alignment horizontal="center"/>
    </xf>
    <xf numFmtId="0" fontId="65" fillId="4" borderId="44" xfId="0" applyNumberFormat="1" applyFont="1" applyFill="1" applyBorder="1" applyAlignment="1">
      <alignment vertical="top"/>
    </xf>
    <xf numFmtId="1" fontId="65" fillId="4" borderId="44" xfId="0" applyNumberFormat="1" applyFont="1" applyFill="1" applyBorder="1" applyAlignment="1">
      <alignment horizontal="center" vertical="top"/>
    </xf>
    <xf numFmtId="1" fontId="65" fillId="4" borderId="44" xfId="0" applyNumberFormat="1" applyFont="1" applyFill="1" applyBorder="1" applyAlignment="1">
      <alignment horizontal="right" vertical="top"/>
    </xf>
    <xf numFmtId="0" fontId="35" fillId="4" borderId="44" xfId="0" applyFont="1" applyFill="1" applyBorder="1" applyAlignment="1"/>
    <xf numFmtId="43" fontId="35" fillId="4" borderId="44" xfId="31" applyFont="1" applyFill="1" applyBorder="1" applyAlignment="1">
      <alignment horizontal="right" vertical="center"/>
    </xf>
    <xf numFmtId="0" fontId="26" fillId="0" borderId="44" xfId="19" quotePrefix="1" applyFont="1" applyFill="1" applyBorder="1" applyAlignment="1">
      <alignment horizontal="right" vertical="center"/>
    </xf>
    <xf numFmtId="0" fontId="66" fillId="0" borderId="44" xfId="19" applyFont="1" applyFill="1" applyBorder="1" applyAlignment="1"/>
    <xf numFmtId="0" fontId="26" fillId="4" borderId="44" xfId="19" applyFont="1" applyFill="1" applyBorder="1" applyAlignment="1">
      <alignment horizontal="right" vertical="center"/>
    </xf>
    <xf numFmtId="0" fontId="26" fillId="4" borderId="44" xfId="19" applyFont="1" applyFill="1" applyBorder="1" applyAlignment="1">
      <alignment horizontal="center" vertical="center"/>
    </xf>
    <xf numFmtId="3" fontId="34" fillId="4" borderId="44" xfId="34" applyNumberFormat="1" applyFont="1" applyFill="1" applyBorder="1" applyAlignment="1">
      <alignment horizontal="center" vertical="center"/>
    </xf>
    <xf numFmtId="165" fontId="34" fillId="4" borderId="44" xfId="34" applyNumberFormat="1" applyFont="1" applyFill="1" applyBorder="1" applyAlignment="1">
      <alignment horizontal="center" vertical="center"/>
    </xf>
    <xf numFmtId="14" fontId="35" fillId="0" borderId="44" xfId="19" applyNumberFormat="1" applyFont="1" applyFill="1" applyBorder="1" applyAlignment="1">
      <alignment horizontal="right" vertical="center"/>
    </xf>
    <xf numFmtId="0" fontId="35" fillId="0" borderId="44" xfId="19" applyFont="1" applyFill="1" applyBorder="1" applyAlignment="1">
      <alignment horizontal="right"/>
    </xf>
    <xf numFmtId="0" fontId="35" fillId="0" borderId="44" xfId="19" quotePrefix="1" applyFont="1" applyFill="1" applyBorder="1" applyAlignment="1">
      <alignment horizontal="right" vertical="center"/>
    </xf>
    <xf numFmtId="0" fontId="26" fillId="4" borderId="44" xfId="19" applyFont="1" applyFill="1" applyBorder="1" applyAlignment="1">
      <alignment vertical="center"/>
    </xf>
    <xf numFmtId="4" fontId="36" fillId="4" borderId="44" xfId="19" applyNumberFormat="1" applyFont="1" applyFill="1" applyBorder="1" applyAlignment="1">
      <alignment horizontal="left"/>
    </xf>
    <xf numFmtId="4" fontId="35" fillId="4" borderId="44" xfId="19" applyNumberFormat="1" applyFont="1" applyFill="1" applyBorder="1" applyAlignment="1">
      <alignment horizontal="center"/>
    </xf>
    <xf numFmtId="165" fontId="35" fillId="4" borderId="44" xfId="19" applyNumberFormat="1" applyFont="1" applyFill="1" applyBorder="1" applyAlignment="1">
      <alignment horizontal="center"/>
    </xf>
    <xf numFmtId="0" fontId="34" fillId="4" borderId="44" xfId="19" applyFont="1" applyFill="1" applyBorder="1" applyAlignment="1">
      <alignment horizontal="right" vertical="center"/>
    </xf>
    <xf numFmtId="4" fontId="37" fillId="4" borderId="44" xfId="19" applyNumberFormat="1" applyFont="1" applyFill="1" applyBorder="1" applyAlignment="1">
      <alignment horizontal="left"/>
    </xf>
    <xf numFmtId="3" fontId="36" fillId="4" borderId="44" xfId="19" applyNumberFormat="1" applyFont="1" applyFill="1" applyBorder="1" applyAlignment="1">
      <alignment horizontal="center"/>
    </xf>
    <xf numFmtId="165" fontId="36" fillId="4" borderId="44" xfId="19" applyNumberFormat="1" applyFont="1" applyFill="1" applyBorder="1" applyAlignment="1">
      <alignment horizontal="center"/>
    </xf>
    <xf numFmtId="4" fontId="36" fillId="4" borderId="44" xfId="19" applyNumberFormat="1" applyFont="1" applyFill="1" applyBorder="1" applyAlignment="1">
      <alignment horizontal="center"/>
    </xf>
    <xf numFmtId="0" fontId="35" fillId="4" borderId="44" xfId="27" applyFont="1" applyFill="1" applyBorder="1" applyAlignment="1">
      <alignment horizontal="right" vertical="center"/>
    </xf>
    <xf numFmtId="3" fontId="35" fillId="4" borderId="44" xfId="19" applyNumberFormat="1" applyFont="1" applyFill="1" applyBorder="1" applyAlignment="1">
      <alignment horizontal="center"/>
    </xf>
    <xf numFmtId="3" fontId="35" fillId="4" borderId="44" xfId="19" applyNumberFormat="1" applyFont="1" applyFill="1" applyBorder="1" applyAlignment="1">
      <alignment horizontal="left"/>
    </xf>
    <xf numFmtId="4" fontId="35" fillId="4" borderId="44" xfId="19" applyNumberFormat="1" applyFont="1" applyFill="1" applyBorder="1" applyAlignment="1">
      <alignment horizontal="left"/>
    </xf>
    <xf numFmtId="0" fontId="35" fillId="4" borderId="44" xfId="19" applyFont="1" applyFill="1" applyBorder="1" applyAlignment="1">
      <alignment horizontal="right" vertical="center"/>
    </xf>
    <xf numFmtId="0" fontId="35" fillId="4" borderId="44" xfId="19" applyFont="1" applyFill="1" applyBorder="1" applyAlignment="1">
      <alignment horizontal="center"/>
    </xf>
    <xf numFmtId="0" fontId="35" fillId="4" borderId="44" xfId="19" applyFont="1" applyFill="1" applyBorder="1" applyAlignment="1">
      <alignment horizontal="left"/>
    </xf>
    <xf numFmtId="0" fontId="26" fillId="0" borderId="44" xfId="19" quotePrefix="1" applyFont="1" applyFill="1" applyBorder="1" applyAlignment="1"/>
    <xf numFmtId="0" fontId="34" fillId="4" borderId="44" xfId="19" applyFont="1" applyFill="1" applyBorder="1" applyAlignment="1">
      <alignment horizontal="left"/>
    </xf>
    <xf numFmtId="0" fontId="34" fillId="4" borderId="44" xfId="19" applyFont="1" applyFill="1" applyBorder="1" applyAlignment="1">
      <alignment horizontal="center"/>
    </xf>
    <xf numFmtId="165" fontId="34" fillId="4" borderId="44" xfId="19" applyNumberFormat="1" applyFont="1" applyFill="1" applyBorder="1" applyAlignment="1">
      <alignment horizontal="center"/>
    </xf>
    <xf numFmtId="4" fontId="34" fillId="4" borderId="44" xfId="19" applyNumberFormat="1" applyFont="1" applyFill="1" applyBorder="1" applyAlignment="1">
      <alignment horizontal="center"/>
    </xf>
    <xf numFmtId="0" fontId="35" fillId="4" borderId="44" xfId="19" applyFont="1" applyFill="1" applyBorder="1" applyAlignment="1"/>
    <xf numFmtId="43" fontId="34" fillId="4" borderId="44" xfId="33" applyFont="1" applyFill="1" applyBorder="1" applyAlignment="1">
      <alignment horizontal="center" vertical="center"/>
    </xf>
    <xf numFmtId="0" fontId="34" fillId="4" borderId="44" xfId="19" applyFont="1" applyFill="1" applyBorder="1" applyAlignment="1"/>
    <xf numFmtId="43" fontId="35" fillId="4" borderId="44" xfId="33" applyFont="1" applyFill="1" applyBorder="1" applyAlignment="1"/>
    <xf numFmtId="4" fontId="35" fillId="4" borderId="44" xfId="19" applyNumberFormat="1" applyFont="1" applyFill="1" applyBorder="1" applyAlignment="1"/>
    <xf numFmtId="0" fontId="34" fillId="2" borderId="44" xfId="19" applyFont="1" applyFill="1" applyBorder="1" applyAlignment="1">
      <alignment horizontal="right" vertical="center"/>
    </xf>
    <xf numFmtId="0" fontId="34" fillId="2" borderId="44" xfId="19" applyFont="1" applyFill="1" applyBorder="1" applyAlignment="1"/>
    <xf numFmtId="43" fontId="26" fillId="2" borderId="44" xfId="33" applyFont="1" applyFill="1" applyBorder="1" applyAlignment="1"/>
    <xf numFmtId="0" fontId="35" fillId="0" borderId="44" xfId="0" applyFont="1" applyBorder="1" applyAlignment="1">
      <alignment vertical="center"/>
    </xf>
    <xf numFmtId="0" fontId="35" fillId="0" borderId="44" xfId="0" applyFont="1" applyBorder="1" applyAlignment="1"/>
    <xf numFmtId="0" fontId="64" fillId="4" borderId="43" xfId="0" applyFont="1" applyFill="1" applyBorder="1" applyAlignment="1">
      <alignment horizontal="right" vertical="center"/>
    </xf>
    <xf numFmtId="0" fontId="64" fillId="4" borderId="44" xfId="0" applyFont="1" applyFill="1" applyBorder="1" applyAlignment="1">
      <alignment wrapText="1"/>
    </xf>
    <xf numFmtId="0" fontId="34" fillId="0" borderId="18" xfId="0" applyFont="1" applyFill="1" applyBorder="1"/>
    <xf numFmtId="0" fontId="34" fillId="0" borderId="17" xfId="19" applyFont="1" applyFill="1" applyBorder="1" applyAlignment="1">
      <alignment horizontal="right" vertical="center"/>
    </xf>
    <xf numFmtId="0" fontId="34" fillId="0" borderId="18" xfId="19" applyFont="1" applyFill="1" applyBorder="1" applyAlignment="1">
      <alignment wrapText="1"/>
    </xf>
    <xf numFmtId="0" fontId="70" fillId="0" borderId="18" xfId="19" applyFont="1" applyFill="1" applyBorder="1" applyAlignment="1">
      <alignment horizontal="center"/>
    </xf>
    <xf numFmtId="0" fontId="70" fillId="0" borderId="18" xfId="19" applyFont="1" applyFill="1" applyBorder="1" applyAlignment="1">
      <alignment horizontal="right"/>
    </xf>
    <xf numFmtId="0" fontId="52" fillId="5" borderId="0" xfId="0" applyFont="1" applyFill="1" applyAlignment="1"/>
    <xf numFmtId="0" fontId="6" fillId="4" borderId="44" xfId="0" applyFont="1" applyFill="1" applyBorder="1" applyAlignment="1">
      <alignment horizontal="right" vertical="center" wrapText="1"/>
    </xf>
    <xf numFmtId="43" fontId="6" fillId="4" borderId="44" xfId="31" applyFont="1" applyFill="1" applyBorder="1" applyAlignment="1">
      <alignment wrapText="1"/>
    </xf>
    <xf numFmtId="43" fontId="35" fillId="0" borderId="0" xfId="0" applyNumberFormat="1" applyFont="1" applyBorder="1"/>
    <xf numFmtId="44" fontId="35" fillId="0" borderId="0" xfId="0" applyNumberFormat="1" applyFont="1"/>
    <xf numFmtId="0" fontId="66" fillId="0" borderId="44" xfId="19" applyFont="1" applyFill="1" applyBorder="1" applyAlignment="1">
      <alignment wrapText="1"/>
    </xf>
    <xf numFmtId="0" fontId="37" fillId="4" borderId="44" xfId="19" applyFont="1" applyFill="1" applyBorder="1" applyAlignment="1">
      <alignment horizontal="left" wrapText="1"/>
    </xf>
    <xf numFmtId="0" fontId="66" fillId="0" borderId="44" xfId="19" applyFont="1" applyFill="1" applyBorder="1" applyAlignment="1">
      <alignment vertical="center" wrapText="1"/>
    </xf>
  </cellXfs>
  <cellStyles count="43">
    <cellStyle name="Comma" xfId="31" builtinId="3"/>
    <cellStyle name="Comma 2" xfId="1"/>
    <cellStyle name="Comma 2 2" xfId="17"/>
    <cellStyle name="Comma 2 4" xfId="34"/>
    <cellStyle name="Comma 2 5" xfId="33"/>
    <cellStyle name="Comma 3" xfId="2"/>
    <cellStyle name="Comma 4" xfId="3"/>
    <cellStyle name="Comma 5" xfId="4"/>
    <cellStyle name="Currency" xfId="38" builtinId="4"/>
    <cellStyle name="Currency 2" xfId="5"/>
    <cellStyle name="Currency 2 2" xfId="18"/>
    <cellStyle name="Currency 3" xfId="6"/>
    <cellStyle name="Currency 4" xfId="7"/>
    <cellStyle name="Normal" xfId="0" builtinId="0"/>
    <cellStyle name="Normal 10" xfId="19"/>
    <cellStyle name="Normal 11" xfId="20"/>
    <cellStyle name="Normal 12" xfId="8"/>
    <cellStyle name="Normal 13" xfId="21"/>
    <cellStyle name="Normal 14" xfId="27"/>
    <cellStyle name="Normal 2" xfId="9"/>
    <cellStyle name="Normal 2 2" xfId="10"/>
    <cellStyle name="Normal 2 2 2" xfId="16"/>
    <cellStyle name="Normal 2 2 3" xfId="29"/>
    <cellStyle name="Normal 3" xfId="11"/>
    <cellStyle name="Normal 4" xfId="12"/>
    <cellStyle name="Normal 4 2" xfId="30"/>
    <cellStyle name="Normal 4 2 2" xfId="41"/>
    <cellStyle name="Normal 4 3" xfId="40"/>
    <cellStyle name="Normal 5" xfId="22"/>
    <cellStyle name="Normal 6" xfId="23"/>
    <cellStyle name="Normal 6 2" xfId="32"/>
    <cellStyle name="Normal 6 2 2" xfId="42"/>
    <cellStyle name="Normal 7" xfId="24"/>
    <cellStyle name="Normal 8" xfId="25"/>
    <cellStyle name="Normal 9" xfId="26"/>
    <cellStyle name="Normal_Sheet1" xfId="39"/>
    <cellStyle name="Percent" xfId="13" builtinId="5"/>
    <cellStyle name="Percent 2" xfId="14"/>
    <cellStyle name="Percent 3" xfId="28"/>
    <cellStyle name="tahoma" xfId="15"/>
    <cellStyle name="tahoma 10 2" xfId="35"/>
    <cellStyle name="tahoma 15 2 2" xfId="36"/>
    <cellStyle name="tahoma 2 2" xfId="37"/>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71"/>
  <sheetViews>
    <sheetView view="pageBreakPreview" topLeftCell="B428" zoomScaleNormal="75" zoomScaleSheetLayoutView="107" workbookViewId="0">
      <selection activeCell="C441" sqref="C441"/>
    </sheetView>
  </sheetViews>
  <sheetFormatPr defaultColWidth="1.33203125" defaultRowHeight="13.5" customHeight="1"/>
  <cols>
    <col min="1" max="1" width="9.88671875" style="7" bestFit="1" customWidth="1"/>
    <col min="2" max="2" width="93.109375" style="2" customWidth="1"/>
    <col min="3" max="3" width="10.6640625" style="3" bestFit="1" customWidth="1"/>
    <col min="4" max="4" width="7.44140625" style="3" customWidth="1"/>
    <col min="5" max="5" width="7.5546875" style="3" customWidth="1"/>
    <col min="6" max="6" width="8.33203125" style="4" customWidth="1"/>
    <col min="7" max="7" width="13.109375" style="148" customWidth="1"/>
    <col min="8" max="249" width="9.109375" style="3" customWidth="1"/>
    <col min="250" max="250" width="1.33203125" style="3"/>
    <col min="251" max="251" width="1.33203125" style="3" customWidth="1"/>
    <col min="252" max="252" width="3.5546875" style="3" customWidth="1"/>
    <col min="253" max="253" width="11.109375" style="3" customWidth="1"/>
    <col min="254" max="254" width="9" style="3" customWidth="1"/>
    <col min="255" max="255" width="7.44140625" style="3" customWidth="1"/>
    <col min="256" max="258" width="7.5546875" style="3" customWidth="1"/>
    <col min="259" max="259" width="5.6640625" style="3" customWidth="1"/>
    <col min="260" max="260" width="15.88671875" style="3" customWidth="1"/>
    <col min="261" max="261" width="19.44140625" style="3" customWidth="1"/>
    <col min="262" max="262" width="14.6640625" style="3" customWidth="1"/>
    <col min="263" max="263" width="4.109375" style="3" customWidth="1"/>
    <col min="264" max="505" width="9.109375" style="3" customWidth="1"/>
    <col min="506" max="506" width="1.33203125" style="3"/>
    <col min="507" max="507" width="1.33203125" style="3" customWidth="1"/>
    <col min="508" max="508" width="3.5546875" style="3" customWidth="1"/>
    <col min="509" max="509" width="11.109375" style="3" customWidth="1"/>
    <col min="510" max="510" width="9" style="3" customWidth="1"/>
    <col min="511" max="511" width="7.44140625" style="3" customWidth="1"/>
    <col min="512" max="514" width="7.5546875" style="3" customWidth="1"/>
    <col min="515" max="515" width="5.6640625" style="3" customWidth="1"/>
    <col min="516" max="516" width="15.88671875" style="3" customWidth="1"/>
    <col min="517" max="517" width="19.44140625" style="3" customWidth="1"/>
    <col min="518" max="518" width="14.6640625" style="3" customWidth="1"/>
    <col min="519" max="519" width="4.109375" style="3" customWidth="1"/>
    <col min="520" max="761" width="9.109375" style="3" customWidth="1"/>
    <col min="762" max="762" width="1.33203125" style="3"/>
    <col min="763" max="763" width="1.33203125" style="3" customWidth="1"/>
    <col min="764" max="764" width="3.5546875" style="3" customWidth="1"/>
    <col min="765" max="765" width="11.109375" style="3" customWidth="1"/>
    <col min="766" max="766" width="9" style="3" customWidth="1"/>
    <col min="767" max="767" width="7.44140625" style="3" customWidth="1"/>
    <col min="768" max="770" width="7.5546875" style="3" customWidth="1"/>
    <col min="771" max="771" width="5.6640625" style="3" customWidth="1"/>
    <col min="772" max="772" width="15.88671875" style="3" customWidth="1"/>
    <col min="773" max="773" width="19.44140625" style="3" customWidth="1"/>
    <col min="774" max="774" width="14.6640625" style="3" customWidth="1"/>
    <col min="775" max="775" width="4.109375" style="3" customWidth="1"/>
    <col min="776" max="1017" width="9.109375" style="3" customWidth="1"/>
    <col min="1018" max="1018" width="1.33203125" style="3"/>
    <col min="1019" max="1019" width="1.33203125" style="3" customWidth="1"/>
    <col min="1020" max="1020" width="3.5546875" style="3" customWidth="1"/>
    <col min="1021" max="1021" width="11.109375" style="3" customWidth="1"/>
    <col min="1022" max="1022" width="9" style="3" customWidth="1"/>
    <col min="1023" max="1023" width="7.44140625" style="3" customWidth="1"/>
    <col min="1024" max="1026" width="7.5546875" style="3" customWidth="1"/>
    <col min="1027" max="1027" width="5.6640625" style="3" customWidth="1"/>
    <col min="1028" max="1028" width="15.88671875" style="3" customWidth="1"/>
    <col min="1029" max="1029" width="19.44140625" style="3" customWidth="1"/>
    <col min="1030" max="1030" width="14.6640625" style="3" customWidth="1"/>
    <col min="1031" max="1031" width="4.109375" style="3" customWidth="1"/>
    <col min="1032" max="1273" width="9.109375" style="3" customWidth="1"/>
    <col min="1274" max="1274" width="1.33203125" style="3"/>
    <col min="1275" max="1275" width="1.33203125" style="3" customWidth="1"/>
    <col min="1276" max="1276" width="3.5546875" style="3" customWidth="1"/>
    <col min="1277" max="1277" width="11.109375" style="3" customWidth="1"/>
    <col min="1278" max="1278" width="9" style="3" customWidth="1"/>
    <col min="1279" max="1279" width="7.44140625" style="3" customWidth="1"/>
    <col min="1280" max="1282" width="7.5546875" style="3" customWidth="1"/>
    <col min="1283" max="1283" width="5.6640625" style="3" customWidth="1"/>
    <col min="1284" max="1284" width="15.88671875" style="3" customWidth="1"/>
    <col min="1285" max="1285" width="19.44140625" style="3" customWidth="1"/>
    <col min="1286" max="1286" width="14.6640625" style="3" customWidth="1"/>
    <col min="1287" max="1287" width="4.109375" style="3" customWidth="1"/>
    <col min="1288" max="1529" width="9.109375" style="3" customWidth="1"/>
    <col min="1530" max="1530" width="1.33203125" style="3"/>
    <col min="1531" max="1531" width="1.33203125" style="3" customWidth="1"/>
    <col min="1532" max="1532" width="3.5546875" style="3" customWidth="1"/>
    <col min="1533" max="1533" width="11.109375" style="3" customWidth="1"/>
    <col min="1534" max="1534" width="9" style="3" customWidth="1"/>
    <col min="1535" max="1535" width="7.44140625" style="3" customWidth="1"/>
    <col min="1536" max="1538" width="7.5546875" style="3" customWidth="1"/>
    <col min="1539" max="1539" width="5.6640625" style="3" customWidth="1"/>
    <col min="1540" max="1540" width="15.88671875" style="3" customWidth="1"/>
    <col min="1541" max="1541" width="19.44140625" style="3" customWidth="1"/>
    <col min="1542" max="1542" width="14.6640625" style="3" customWidth="1"/>
    <col min="1543" max="1543" width="4.109375" style="3" customWidth="1"/>
    <col min="1544" max="1785" width="9.109375" style="3" customWidth="1"/>
    <col min="1786" max="1786" width="1.33203125" style="3"/>
    <col min="1787" max="1787" width="1.33203125" style="3" customWidth="1"/>
    <col min="1788" max="1788" width="3.5546875" style="3" customWidth="1"/>
    <col min="1789" max="1789" width="11.109375" style="3" customWidth="1"/>
    <col min="1790" max="1790" width="9" style="3" customWidth="1"/>
    <col min="1791" max="1791" width="7.44140625" style="3" customWidth="1"/>
    <col min="1792" max="1794" width="7.5546875" style="3" customWidth="1"/>
    <col min="1795" max="1795" width="5.6640625" style="3" customWidth="1"/>
    <col min="1796" max="1796" width="15.88671875" style="3" customWidth="1"/>
    <col min="1797" max="1797" width="19.44140625" style="3" customWidth="1"/>
    <col min="1798" max="1798" width="14.6640625" style="3" customWidth="1"/>
    <col min="1799" max="1799" width="4.109375" style="3" customWidth="1"/>
    <col min="1800" max="2041" width="9.109375" style="3" customWidth="1"/>
    <col min="2042" max="2042" width="1.33203125" style="3"/>
    <col min="2043" max="2043" width="1.33203125" style="3" customWidth="1"/>
    <col min="2044" max="2044" width="3.5546875" style="3" customWidth="1"/>
    <col min="2045" max="2045" width="11.109375" style="3" customWidth="1"/>
    <col min="2046" max="2046" width="9" style="3" customWidth="1"/>
    <col min="2047" max="2047" width="7.44140625" style="3" customWidth="1"/>
    <col min="2048" max="2050" width="7.5546875" style="3" customWidth="1"/>
    <col min="2051" max="2051" width="5.6640625" style="3" customWidth="1"/>
    <col min="2052" max="2052" width="15.88671875" style="3" customWidth="1"/>
    <col min="2053" max="2053" width="19.44140625" style="3" customWidth="1"/>
    <col min="2054" max="2054" width="14.6640625" style="3" customWidth="1"/>
    <col min="2055" max="2055" width="4.109375" style="3" customWidth="1"/>
    <col min="2056" max="2297" width="9.109375" style="3" customWidth="1"/>
    <col min="2298" max="2298" width="1.33203125" style="3"/>
    <col min="2299" max="2299" width="1.33203125" style="3" customWidth="1"/>
    <col min="2300" max="2300" width="3.5546875" style="3" customWidth="1"/>
    <col min="2301" max="2301" width="11.109375" style="3" customWidth="1"/>
    <col min="2302" max="2302" width="9" style="3" customWidth="1"/>
    <col min="2303" max="2303" width="7.44140625" style="3" customWidth="1"/>
    <col min="2304" max="2306" width="7.5546875" style="3" customWidth="1"/>
    <col min="2307" max="2307" width="5.6640625" style="3" customWidth="1"/>
    <col min="2308" max="2308" width="15.88671875" style="3" customWidth="1"/>
    <col min="2309" max="2309" width="19.44140625" style="3" customWidth="1"/>
    <col min="2310" max="2310" width="14.6640625" style="3" customWidth="1"/>
    <col min="2311" max="2311" width="4.109375" style="3" customWidth="1"/>
    <col min="2312" max="2553" width="9.109375" style="3" customWidth="1"/>
    <col min="2554" max="2554" width="1.33203125" style="3"/>
    <col min="2555" max="2555" width="1.33203125" style="3" customWidth="1"/>
    <col min="2556" max="2556" width="3.5546875" style="3" customWidth="1"/>
    <col min="2557" max="2557" width="11.109375" style="3" customWidth="1"/>
    <col min="2558" max="2558" width="9" style="3" customWidth="1"/>
    <col min="2559" max="2559" width="7.44140625" style="3" customWidth="1"/>
    <col min="2560" max="2562" width="7.5546875" style="3" customWidth="1"/>
    <col min="2563" max="2563" width="5.6640625" style="3" customWidth="1"/>
    <col min="2564" max="2564" width="15.88671875" style="3" customWidth="1"/>
    <col min="2565" max="2565" width="19.44140625" style="3" customWidth="1"/>
    <col min="2566" max="2566" width="14.6640625" style="3" customWidth="1"/>
    <col min="2567" max="2567" width="4.109375" style="3" customWidth="1"/>
    <col min="2568" max="2809" width="9.109375" style="3" customWidth="1"/>
    <col min="2810" max="2810" width="1.33203125" style="3"/>
    <col min="2811" max="2811" width="1.33203125" style="3" customWidth="1"/>
    <col min="2812" max="2812" width="3.5546875" style="3" customWidth="1"/>
    <col min="2813" max="2813" width="11.109375" style="3" customWidth="1"/>
    <col min="2814" max="2814" width="9" style="3" customWidth="1"/>
    <col min="2815" max="2815" width="7.44140625" style="3" customWidth="1"/>
    <col min="2816" max="2818" width="7.5546875" style="3" customWidth="1"/>
    <col min="2819" max="2819" width="5.6640625" style="3" customWidth="1"/>
    <col min="2820" max="2820" width="15.88671875" style="3" customWidth="1"/>
    <col min="2821" max="2821" width="19.44140625" style="3" customWidth="1"/>
    <col min="2822" max="2822" width="14.6640625" style="3" customWidth="1"/>
    <col min="2823" max="2823" width="4.109375" style="3" customWidth="1"/>
    <col min="2824" max="3065" width="9.109375" style="3" customWidth="1"/>
    <col min="3066" max="3066" width="1.33203125" style="3"/>
    <col min="3067" max="3067" width="1.33203125" style="3" customWidth="1"/>
    <col min="3068" max="3068" width="3.5546875" style="3" customWidth="1"/>
    <col min="3069" max="3069" width="11.109375" style="3" customWidth="1"/>
    <col min="3070" max="3070" width="9" style="3" customWidth="1"/>
    <col min="3071" max="3071" width="7.44140625" style="3" customWidth="1"/>
    <col min="3072" max="3074" width="7.5546875" style="3" customWidth="1"/>
    <col min="3075" max="3075" width="5.6640625" style="3" customWidth="1"/>
    <col min="3076" max="3076" width="15.88671875" style="3" customWidth="1"/>
    <col min="3077" max="3077" width="19.44140625" style="3" customWidth="1"/>
    <col min="3078" max="3078" width="14.6640625" style="3" customWidth="1"/>
    <col min="3079" max="3079" width="4.109375" style="3" customWidth="1"/>
    <col min="3080" max="3321" width="9.109375" style="3" customWidth="1"/>
    <col min="3322" max="3322" width="1.33203125" style="3"/>
    <col min="3323" max="3323" width="1.33203125" style="3" customWidth="1"/>
    <col min="3324" max="3324" width="3.5546875" style="3" customWidth="1"/>
    <col min="3325" max="3325" width="11.109375" style="3" customWidth="1"/>
    <col min="3326" max="3326" width="9" style="3" customWidth="1"/>
    <col min="3327" max="3327" width="7.44140625" style="3" customWidth="1"/>
    <col min="3328" max="3330" width="7.5546875" style="3" customWidth="1"/>
    <col min="3331" max="3331" width="5.6640625" style="3" customWidth="1"/>
    <col min="3332" max="3332" width="15.88671875" style="3" customWidth="1"/>
    <col min="3333" max="3333" width="19.44140625" style="3" customWidth="1"/>
    <col min="3334" max="3334" width="14.6640625" style="3" customWidth="1"/>
    <col min="3335" max="3335" width="4.109375" style="3" customWidth="1"/>
    <col min="3336" max="3577" width="9.109375" style="3" customWidth="1"/>
    <col min="3578" max="3578" width="1.33203125" style="3"/>
    <col min="3579" max="3579" width="1.33203125" style="3" customWidth="1"/>
    <col min="3580" max="3580" width="3.5546875" style="3" customWidth="1"/>
    <col min="3581" max="3581" width="11.109375" style="3" customWidth="1"/>
    <col min="3582" max="3582" width="9" style="3" customWidth="1"/>
    <col min="3583" max="3583" width="7.44140625" style="3" customWidth="1"/>
    <col min="3584" max="3586" width="7.5546875" style="3" customWidth="1"/>
    <col min="3587" max="3587" width="5.6640625" style="3" customWidth="1"/>
    <col min="3588" max="3588" width="15.88671875" style="3" customWidth="1"/>
    <col min="3589" max="3589" width="19.44140625" style="3" customWidth="1"/>
    <col min="3590" max="3590" width="14.6640625" style="3" customWidth="1"/>
    <col min="3591" max="3591" width="4.109375" style="3" customWidth="1"/>
    <col min="3592" max="3833" width="9.109375" style="3" customWidth="1"/>
    <col min="3834" max="3834" width="1.33203125" style="3"/>
    <col min="3835" max="3835" width="1.33203125" style="3" customWidth="1"/>
    <col min="3836" max="3836" width="3.5546875" style="3" customWidth="1"/>
    <col min="3837" max="3837" width="11.109375" style="3" customWidth="1"/>
    <col min="3838" max="3838" width="9" style="3" customWidth="1"/>
    <col min="3839" max="3839" width="7.44140625" style="3" customWidth="1"/>
    <col min="3840" max="3842" width="7.5546875" style="3" customWidth="1"/>
    <col min="3843" max="3843" width="5.6640625" style="3" customWidth="1"/>
    <col min="3844" max="3844" width="15.88671875" style="3" customWidth="1"/>
    <col min="3845" max="3845" width="19.44140625" style="3" customWidth="1"/>
    <col min="3846" max="3846" width="14.6640625" style="3" customWidth="1"/>
    <col min="3847" max="3847" width="4.109375" style="3" customWidth="1"/>
    <col min="3848" max="4089" width="9.109375" style="3" customWidth="1"/>
    <col min="4090" max="4090" width="1.33203125" style="3"/>
    <col min="4091" max="4091" width="1.33203125" style="3" customWidth="1"/>
    <col min="4092" max="4092" width="3.5546875" style="3" customWidth="1"/>
    <col min="4093" max="4093" width="11.109375" style="3" customWidth="1"/>
    <col min="4094" max="4094" width="9" style="3" customWidth="1"/>
    <col min="4095" max="4095" width="7.44140625" style="3" customWidth="1"/>
    <col min="4096" max="4098" width="7.5546875" style="3" customWidth="1"/>
    <col min="4099" max="4099" width="5.6640625" style="3" customWidth="1"/>
    <col min="4100" max="4100" width="15.88671875" style="3" customWidth="1"/>
    <col min="4101" max="4101" width="19.44140625" style="3" customWidth="1"/>
    <col min="4102" max="4102" width="14.6640625" style="3" customWidth="1"/>
    <col min="4103" max="4103" width="4.109375" style="3" customWidth="1"/>
    <col min="4104" max="4345" width="9.109375" style="3" customWidth="1"/>
    <col min="4346" max="4346" width="1.33203125" style="3"/>
    <col min="4347" max="4347" width="1.33203125" style="3" customWidth="1"/>
    <col min="4348" max="4348" width="3.5546875" style="3" customWidth="1"/>
    <col min="4349" max="4349" width="11.109375" style="3" customWidth="1"/>
    <col min="4350" max="4350" width="9" style="3" customWidth="1"/>
    <col min="4351" max="4351" width="7.44140625" style="3" customWidth="1"/>
    <col min="4352" max="4354" width="7.5546875" style="3" customWidth="1"/>
    <col min="4355" max="4355" width="5.6640625" style="3" customWidth="1"/>
    <col min="4356" max="4356" width="15.88671875" style="3" customWidth="1"/>
    <col min="4357" max="4357" width="19.44140625" style="3" customWidth="1"/>
    <col min="4358" max="4358" width="14.6640625" style="3" customWidth="1"/>
    <col min="4359" max="4359" width="4.109375" style="3" customWidth="1"/>
    <col min="4360" max="4601" width="9.109375" style="3" customWidth="1"/>
    <col min="4602" max="4602" width="1.33203125" style="3"/>
    <col min="4603" max="4603" width="1.33203125" style="3" customWidth="1"/>
    <col min="4604" max="4604" width="3.5546875" style="3" customWidth="1"/>
    <col min="4605" max="4605" width="11.109375" style="3" customWidth="1"/>
    <col min="4606" max="4606" width="9" style="3" customWidth="1"/>
    <col min="4607" max="4607" width="7.44140625" style="3" customWidth="1"/>
    <col min="4608" max="4610" width="7.5546875" style="3" customWidth="1"/>
    <col min="4611" max="4611" width="5.6640625" style="3" customWidth="1"/>
    <col min="4612" max="4612" width="15.88671875" style="3" customWidth="1"/>
    <col min="4613" max="4613" width="19.44140625" style="3" customWidth="1"/>
    <col min="4614" max="4614" width="14.6640625" style="3" customWidth="1"/>
    <col min="4615" max="4615" width="4.109375" style="3" customWidth="1"/>
    <col min="4616" max="4857" width="9.109375" style="3" customWidth="1"/>
    <col min="4858" max="4858" width="1.33203125" style="3"/>
    <col min="4859" max="4859" width="1.33203125" style="3" customWidth="1"/>
    <col min="4860" max="4860" width="3.5546875" style="3" customWidth="1"/>
    <col min="4861" max="4861" width="11.109375" style="3" customWidth="1"/>
    <col min="4862" max="4862" width="9" style="3" customWidth="1"/>
    <col min="4863" max="4863" width="7.44140625" style="3" customWidth="1"/>
    <col min="4864" max="4866" width="7.5546875" style="3" customWidth="1"/>
    <col min="4867" max="4867" width="5.6640625" style="3" customWidth="1"/>
    <col min="4868" max="4868" width="15.88671875" style="3" customWidth="1"/>
    <col min="4869" max="4869" width="19.44140625" style="3" customWidth="1"/>
    <col min="4870" max="4870" width="14.6640625" style="3" customWidth="1"/>
    <col min="4871" max="4871" width="4.109375" style="3" customWidth="1"/>
    <col min="4872" max="5113" width="9.109375" style="3" customWidth="1"/>
    <col min="5114" max="5114" width="1.33203125" style="3"/>
    <col min="5115" max="5115" width="1.33203125" style="3" customWidth="1"/>
    <col min="5116" max="5116" width="3.5546875" style="3" customWidth="1"/>
    <col min="5117" max="5117" width="11.109375" style="3" customWidth="1"/>
    <col min="5118" max="5118" width="9" style="3" customWidth="1"/>
    <col min="5119" max="5119" width="7.44140625" style="3" customWidth="1"/>
    <col min="5120" max="5122" width="7.5546875" style="3" customWidth="1"/>
    <col min="5123" max="5123" width="5.6640625" style="3" customWidth="1"/>
    <col min="5124" max="5124" width="15.88671875" style="3" customWidth="1"/>
    <col min="5125" max="5125" width="19.44140625" style="3" customWidth="1"/>
    <col min="5126" max="5126" width="14.6640625" style="3" customWidth="1"/>
    <col min="5127" max="5127" width="4.109375" style="3" customWidth="1"/>
    <col min="5128" max="5369" width="9.109375" style="3" customWidth="1"/>
    <col min="5370" max="5370" width="1.33203125" style="3"/>
    <col min="5371" max="5371" width="1.33203125" style="3" customWidth="1"/>
    <col min="5372" max="5372" width="3.5546875" style="3" customWidth="1"/>
    <col min="5373" max="5373" width="11.109375" style="3" customWidth="1"/>
    <col min="5374" max="5374" width="9" style="3" customWidth="1"/>
    <col min="5375" max="5375" width="7.44140625" style="3" customWidth="1"/>
    <col min="5376" max="5378" width="7.5546875" style="3" customWidth="1"/>
    <col min="5379" max="5379" width="5.6640625" style="3" customWidth="1"/>
    <col min="5380" max="5380" width="15.88671875" style="3" customWidth="1"/>
    <col min="5381" max="5381" width="19.44140625" style="3" customWidth="1"/>
    <col min="5382" max="5382" width="14.6640625" style="3" customWidth="1"/>
    <col min="5383" max="5383" width="4.109375" style="3" customWidth="1"/>
    <col min="5384" max="5625" width="9.109375" style="3" customWidth="1"/>
    <col min="5626" max="5626" width="1.33203125" style="3"/>
    <col min="5627" max="5627" width="1.33203125" style="3" customWidth="1"/>
    <col min="5628" max="5628" width="3.5546875" style="3" customWidth="1"/>
    <col min="5629" max="5629" width="11.109375" style="3" customWidth="1"/>
    <col min="5630" max="5630" width="9" style="3" customWidth="1"/>
    <col min="5631" max="5631" width="7.44140625" style="3" customWidth="1"/>
    <col min="5632" max="5634" width="7.5546875" style="3" customWidth="1"/>
    <col min="5635" max="5635" width="5.6640625" style="3" customWidth="1"/>
    <col min="5636" max="5636" width="15.88671875" style="3" customWidth="1"/>
    <col min="5637" max="5637" width="19.44140625" style="3" customWidth="1"/>
    <col min="5638" max="5638" width="14.6640625" style="3" customWidth="1"/>
    <col min="5639" max="5639" width="4.109375" style="3" customWidth="1"/>
    <col min="5640" max="5881" width="9.109375" style="3" customWidth="1"/>
    <col min="5882" max="5882" width="1.33203125" style="3"/>
    <col min="5883" max="5883" width="1.33203125" style="3" customWidth="1"/>
    <col min="5884" max="5884" width="3.5546875" style="3" customWidth="1"/>
    <col min="5885" max="5885" width="11.109375" style="3" customWidth="1"/>
    <col min="5886" max="5886" width="9" style="3" customWidth="1"/>
    <col min="5887" max="5887" width="7.44140625" style="3" customWidth="1"/>
    <col min="5888" max="5890" width="7.5546875" style="3" customWidth="1"/>
    <col min="5891" max="5891" width="5.6640625" style="3" customWidth="1"/>
    <col min="5892" max="5892" width="15.88671875" style="3" customWidth="1"/>
    <col min="5893" max="5893" width="19.44140625" style="3" customWidth="1"/>
    <col min="5894" max="5894" width="14.6640625" style="3" customWidth="1"/>
    <col min="5895" max="5895" width="4.109375" style="3" customWidth="1"/>
    <col min="5896" max="6137" width="9.109375" style="3" customWidth="1"/>
    <col min="6138" max="6138" width="1.33203125" style="3"/>
    <col min="6139" max="6139" width="1.33203125" style="3" customWidth="1"/>
    <col min="6140" max="6140" width="3.5546875" style="3" customWidth="1"/>
    <col min="6141" max="6141" width="11.109375" style="3" customWidth="1"/>
    <col min="6142" max="6142" width="9" style="3" customWidth="1"/>
    <col min="6143" max="6143" width="7.44140625" style="3" customWidth="1"/>
    <col min="6144" max="6146" width="7.5546875" style="3" customWidth="1"/>
    <col min="6147" max="6147" width="5.6640625" style="3" customWidth="1"/>
    <col min="6148" max="6148" width="15.88671875" style="3" customWidth="1"/>
    <col min="6149" max="6149" width="19.44140625" style="3" customWidth="1"/>
    <col min="6150" max="6150" width="14.6640625" style="3" customWidth="1"/>
    <col min="6151" max="6151" width="4.109375" style="3" customWidth="1"/>
    <col min="6152" max="6393" width="9.109375" style="3" customWidth="1"/>
    <col min="6394" max="6394" width="1.33203125" style="3"/>
    <col min="6395" max="6395" width="1.33203125" style="3" customWidth="1"/>
    <col min="6396" max="6396" width="3.5546875" style="3" customWidth="1"/>
    <col min="6397" max="6397" width="11.109375" style="3" customWidth="1"/>
    <col min="6398" max="6398" width="9" style="3" customWidth="1"/>
    <col min="6399" max="6399" width="7.44140625" style="3" customWidth="1"/>
    <col min="6400" max="6402" width="7.5546875" style="3" customWidth="1"/>
    <col min="6403" max="6403" width="5.6640625" style="3" customWidth="1"/>
    <col min="6404" max="6404" width="15.88671875" style="3" customWidth="1"/>
    <col min="6405" max="6405" width="19.44140625" style="3" customWidth="1"/>
    <col min="6406" max="6406" width="14.6640625" style="3" customWidth="1"/>
    <col min="6407" max="6407" width="4.109375" style="3" customWidth="1"/>
    <col min="6408" max="6649" width="9.109375" style="3" customWidth="1"/>
    <col min="6650" max="6650" width="1.33203125" style="3"/>
    <col min="6651" max="6651" width="1.33203125" style="3" customWidth="1"/>
    <col min="6652" max="6652" width="3.5546875" style="3" customWidth="1"/>
    <col min="6653" max="6653" width="11.109375" style="3" customWidth="1"/>
    <col min="6654" max="6654" width="9" style="3" customWidth="1"/>
    <col min="6655" max="6655" width="7.44140625" style="3" customWidth="1"/>
    <col min="6656" max="6658" width="7.5546875" style="3" customWidth="1"/>
    <col min="6659" max="6659" width="5.6640625" style="3" customWidth="1"/>
    <col min="6660" max="6660" width="15.88671875" style="3" customWidth="1"/>
    <col min="6661" max="6661" width="19.44140625" style="3" customWidth="1"/>
    <col min="6662" max="6662" width="14.6640625" style="3" customWidth="1"/>
    <col min="6663" max="6663" width="4.109375" style="3" customWidth="1"/>
    <col min="6664" max="6905" width="9.109375" style="3" customWidth="1"/>
    <col min="6906" max="6906" width="1.33203125" style="3"/>
    <col min="6907" max="6907" width="1.33203125" style="3" customWidth="1"/>
    <col min="6908" max="6908" width="3.5546875" style="3" customWidth="1"/>
    <col min="6909" max="6909" width="11.109375" style="3" customWidth="1"/>
    <col min="6910" max="6910" width="9" style="3" customWidth="1"/>
    <col min="6911" max="6911" width="7.44140625" style="3" customWidth="1"/>
    <col min="6912" max="6914" width="7.5546875" style="3" customWidth="1"/>
    <col min="6915" max="6915" width="5.6640625" style="3" customWidth="1"/>
    <col min="6916" max="6916" width="15.88671875" style="3" customWidth="1"/>
    <col min="6917" max="6917" width="19.44140625" style="3" customWidth="1"/>
    <col min="6918" max="6918" width="14.6640625" style="3" customWidth="1"/>
    <col min="6919" max="6919" width="4.109375" style="3" customWidth="1"/>
    <col min="6920" max="7161" width="9.109375" style="3" customWidth="1"/>
    <col min="7162" max="7162" width="1.33203125" style="3"/>
    <col min="7163" max="7163" width="1.33203125" style="3" customWidth="1"/>
    <col min="7164" max="7164" width="3.5546875" style="3" customWidth="1"/>
    <col min="7165" max="7165" width="11.109375" style="3" customWidth="1"/>
    <col min="7166" max="7166" width="9" style="3" customWidth="1"/>
    <col min="7167" max="7167" width="7.44140625" style="3" customWidth="1"/>
    <col min="7168" max="7170" width="7.5546875" style="3" customWidth="1"/>
    <col min="7171" max="7171" width="5.6640625" style="3" customWidth="1"/>
    <col min="7172" max="7172" width="15.88671875" style="3" customWidth="1"/>
    <col min="7173" max="7173" width="19.44140625" style="3" customWidth="1"/>
    <col min="7174" max="7174" width="14.6640625" style="3" customWidth="1"/>
    <col min="7175" max="7175" width="4.109375" style="3" customWidth="1"/>
    <col min="7176" max="7417" width="9.109375" style="3" customWidth="1"/>
    <col min="7418" max="7418" width="1.33203125" style="3"/>
    <col min="7419" max="7419" width="1.33203125" style="3" customWidth="1"/>
    <col min="7420" max="7420" width="3.5546875" style="3" customWidth="1"/>
    <col min="7421" max="7421" width="11.109375" style="3" customWidth="1"/>
    <col min="7422" max="7422" width="9" style="3" customWidth="1"/>
    <col min="7423" max="7423" width="7.44140625" style="3" customWidth="1"/>
    <col min="7424" max="7426" width="7.5546875" style="3" customWidth="1"/>
    <col min="7427" max="7427" width="5.6640625" style="3" customWidth="1"/>
    <col min="7428" max="7428" width="15.88671875" style="3" customWidth="1"/>
    <col min="7429" max="7429" width="19.44140625" style="3" customWidth="1"/>
    <col min="7430" max="7430" width="14.6640625" style="3" customWidth="1"/>
    <col min="7431" max="7431" width="4.109375" style="3" customWidth="1"/>
    <col min="7432" max="7673" width="9.109375" style="3" customWidth="1"/>
    <col min="7674" max="7674" width="1.33203125" style="3"/>
    <col min="7675" max="7675" width="1.33203125" style="3" customWidth="1"/>
    <col min="7676" max="7676" width="3.5546875" style="3" customWidth="1"/>
    <col min="7677" max="7677" width="11.109375" style="3" customWidth="1"/>
    <col min="7678" max="7678" width="9" style="3" customWidth="1"/>
    <col min="7679" max="7679" width="7.44140625" style="3" customWidth="1"/>
    <col min="7680" max="7682" width="7.5546875" style="3" customWidth="1"/>
    <col min="7683" max="7683" width="5.6640625" style="3" customWidth="1"/>
    <col min="7684" max="7684" width="15.88671875" style="3" customWidth="1"/>
    <col min="7685" max="7685" width="19.44140625" style="3" customWidth="1"/>
    <col min="7686" max="7686" width="14.6640625" style="3" customWidth="1"/>
    <col min="7687" max="7687" width="4.109375" style="3" customWidth="1"/>
    <col min="7688" max="7929" width="9.109375" style="3" customWidth="1"/>
    <col min="7930" max="7930" width="1.33203125" style="3"/>
    <col min="7931" max="7931" width="1.33203125" style="3" customWidth="1"/>
    <col min="7932" max="7932" width="3.5546875" style="3" customWidth="1"/>
    <col min="7933" max="7933" width="11.109375" style="3" customWidth="1"/>
    <col min="7934" max="7934" width="9" style="3" customWidth="1"/>
    <col min="7935" max="7935" width="7.44140625" style="3" customWidth="1"/>
    <col min="7936" max="7938" width="7.5546875" style="3" customWidth="1"/>
    <col min="7939" max="7939" width="5.6640625" style="3" customWidth="1"/>
    <col min="7940" max="7940" width="15.88671875" style="3" customWidth="1"/>
    <col min="7941" max="7941" width="19.44140625" style="3" customWidth="1"/>
    <col min="7942" max="7942" width="14.6640625" style="3" customWidth="1"/>
    <col min="7943" max="7943" width="4.109375" style="3" customWidth="1"/>
    <col min="7944" max="8185" width="9.109375" style="3" customWidth="1"/>
    <col min="8186" max="8186" width="1.33203125" style="3"/>
    <col min="8187" max="8187" width="1.33203125" style="3" customWidth="1"/>
    <col min="8188" max="8188" width="3.5546875" style="3" customWidth="1"/>
    <col min="8189" max="8189" width="11.109375" style="3" customWidth="1"/>
    <col min="8190" max="8190" width="9" style="3" customWidth="1"/>
    <col min="8191" max="8191" width="7.44140625" style="3" customWidth="1"/>
    <col min="8192" max="8194" width="7.5546875" style="3" customWidth="1"/>
    <col min="8195" max="8195" width="5.6640625" style="3" customWidth="1"/>
    <col min="8196" max="8196" width="15.88671875" style="3" customWidth="1"/>
    <col min="8197" max="8197" width="19.44140625" style="3" customWidth="1"/>
    <col min="8198" max="8198" width="14.6640625" style="3" customWidth="1"/>
    <col min="8199" max="8199" width="4.109375" style="3" customWidth="1"/>
    <col min="8200" max="8441" width="9.109375" style="3" customWidth="1"/>
    <col min="8442" max="8442" width="1.33203125" style="3"/>
    <col min="8443" max="8443" width="1.33203125" style="3" customWidth="1"/>
    <col min="8444" max="8444" width="3.5546875" style="3" customWidth="1"/>
    <col min="8445" max="8445" width="11.109375" style="3" customWidth="1"/>
    <col min="8446" max="8446" width="9" style="3" customWidth="1"/>
    <col min="8447" max="8447" width="7.44140625" style="3" customWidth="1"/>
    <col min="8448" max="8450" width="7.5546875" style="3" customWidth="1"/>
    <col min="8451" max="8451" width="5.6640625" style="3" customWidth="1"/>
    <col min="8452" max="8452" width="15.88671875" style="3" customWidth="1"/>
    <col min="8453" max="8453" width="19.44140625" style="3" customWidth="1"/>
    <col min="8454" max="8454" width="14.6640625" style="3" customWidth="1"/>
    <col min="8455" max="8455" width="4.109375" style="3" customWidth="1"/>
    <col min="8456" max="8697" width="9.109375" style="3" customWidth="1"/>
    <col min="8698" max="8698" width="1.33203125" style="3"/>
    <col min="8699" max="8699" width="1.33203125" style="3" customWidth="1"/>
    <col min="8700" max="8700" width="3.5546875" style="3" customWidth="1"/>
    <col min="8701" max="8701" width="11.109375" style="3" customWidth="1"/>
    <col min="8702" max="8702" width="9" style="3" customWidth="1"/>
    <col min="8703" max="8703" width="7.44140625" style="3" customWidth="1"/>
    <col min="8704" max="8706" width="7.5546875" style="3" customWidth="1"/>
    <col min="8707" max="8707" width="5.6640625" style="3" customWidth="1"/>
    <col min="8708" max="8708" width="15.88671875" style="3" customWidth="1"/>
    <col min="8709" max="8709" width="19.44140625" style="3" customWidth="1"/>
    <col min="8710" max="8710" width="14.6640625" style="3" customWidth="1"/>
    <col min="8711" max="8711" width="4.109375" style="3" customWidth="1"/>
    <col min="8712" max="8953" width="9.109375" style="3" customWidth="1"/>
    <col min="8954" max="8954" width="1.33203125" style="3"/>
    <col min="8955" max="8955" width="1.33203125" style="3" customWidth="1"/>
    <col min="8956" max="8956" width="3.5546875" style="3" customWidth="1"/>
    <col min="8957" max="8957" width="11.109375" style="3" customWidth="1"/>
    <col min="8958" max="8958" width="9" style="3" customWidth="1"/>
    <col min="8959" max="8959" width="7.44140625" style="3" customWidth="1"/>
    <col min="8960" max="8962" width="7.5546875" style="3" customWidth="1"/>
    <col min="8963" max="8963" width="5.6640625" style="3" customWidth="1"/>
    <col min="8964" max="8964" width="15.88671875" style="3" customWidth="1"/>
    <col min="8965" max="8965" width="19.44140625" style="3" customWidth="1"/>
    <col min="8966" max="8966" width="14.6640625" style="3" customWidth="1"/>
    <col min="8967" max="8967" width="4.109375" style="3" customWidth="1"/>
    <col min="8968" max="9209" width="9.109375" style="3" customWidth="1"/>
    <col min="9210" max="9210" width="1.33203125" style="3"/>
    <col min="9211" max="9211" width="1.33203125" style="3" customWidth="1"/>
    <col min="9212" max="9212" width="3.5546875" style="3" customWidth="1"/>
    <col min="9213" max="9213" width="11.109375" style="3" customWidth="1"/>
    <col min="9214" max="9214" width="9" style="3" customWidth="1"/>
    <col min="9215" max="9215" width="7.44140625" style="3" customWidth="1"/>
    <col min="9216" max="9218" width="7.5546875" style="3" customWidth="1"/>
    <col min="9219" max="9219" width="5.6640625" style="3" customWidth="1"/>
    <col min="9220" max="9220" width="15.88671875" style="3" customWidth="1"/>
    <col min="9221" max="9221" width="19.44140625" style="3" customWidth="1"/>
    <col min="9222" max="9222" width="14.6640625" style="3" customWidth="1"/>
    <col min="9223" max="9223" width="4.109375" style="3" customWidth="1"/>
    <col min="9224" max="9465" width="9.109375" style="3" customWidth="1"/>
    <col min="9466" max="9466" width="1.33203125" style="3"/>
    <col min="9467" max="9467" width="1.33203125" style="3" customWidth="1"/>
    <col min="9468" max="9468" width="3.5546875" style="3" customWidth="1"/>
    <col min="9469" max="9469" width="11.109375" style="3" customWidth="1"/>
    <col min="9470" max="9470" width="9" style="3" customWidth="1"/>
    <col min="9471" max="9471" width="7.44140625" style="3" customWidth="1"/>
    <col min="9472" max="9474" width="7.5546875" style="3" customWidth="1"/>
    <col min="9475" max="9475" width="5.6640625" style="3" customWidth="1"/>
    <col min="9476" max="9476" width="15.88671875" style="3" customWidth="1"/>
    <col min="9477" max="9477" width="19.44140625" style="3" customWidth="1"/>
    <col min="9478" max="9478" width="14.6640625" style="3" customWidth="1"/>
    <col min="9479" max="9479" width="4.109375" style="3" customWidth="1"/>
    <col min="9480" max="9721" width="9.109375" style="3" customWidth="1"/>
    <col min="9722" max="9722" width="1.33203125" style="3"/>
    <col min="9723" max="9723" width="1.33203125" style="3" customWidth="1"/>
    <col min="9724" max="9724" width="3.5546875" style="3" customWidth="1"/>
    <col min="9725" max="9725" width="11.109375" style="3" customWidth="1"/>
    <col min="9726" max="9726" width="9" style="3" customWidth="1"/>
    <col min="9727" max="9727" width="7.44140625" style="3" customWidth="1"/>
    <col min="9728" max="9730" width="7.5546875" style="3" customWidth="1"/>
    <col min="9731" max="9731" width="5.6640625" style="3" customWidth="1"/>
    <col min="9732" max="9732" width="15.88671875" style="3" customWidth="1"/>
    <col min="9733" max="9733" width="19.44140625" style="3" customWidth="1"/>
    <col min="9734" max="9734" width="14.6640625" style="3" customWidth="1"/>
    <col min="9735" max="9735" width="4.109375" style="3" customWidth="1"/>
    <col min="9736" max="9977" width="9.109375" style="3" customWidth="1"/>
    <col min="9978" max="9978" width="1.33203125" style="3"/>
    <col min="9979" max="9979" width="1.33203125" style="3" customWidth="1"/>
    <col min="9980" max="9980" width="3.5546875" style="3" customWidth="1"/>
    <col min="9981" max="9981" width="11.109375" style="3" customWidth="1"/>
    <col min="9982" max="9982" width="9" style="3" customWidth="1"/>
    <col min="9983" max="9983" width="7.44140625" style="3" customWidth="1"/>
    <col min="9984" max="9986" width="7.5546875" style="3" customWidth="1"/>
    <col min="9987" max="9987" width="5.6640625" style="3" customWidth="1"/>
    <col min="9988" max="9988" width="15.88671875" style="3" customWidth="1"/>
    <col min="9989" max="9989" width="19.44140625" style="3" customWidth="1"/>
    <col min="9990" max="9990" width="14.6640625" style="3" customWidth="1"/>
    <col min="9991" max="9991" width="4.109375" style="3" customWidth="1"/>
    <col min="9992" max="10233" width="9.109375" style="3" customWidth="1"/>
    <col min="10234" max="10234" width="1.33203125" style="3"/>
    <col min="10235" max="10235" width="1.33203125" style="3" customWidth="1"/>
    <col min="10236" max="10236" width="3.5546875" style="3" customWidth="1"/>
    <col min="10237" max="10237" width="11.109375" style="3" customWidth="1"/>
    <col min="10238" max="10238" width="9" style="3" customWidth="1"/>
    <col min="10239" max="10239" width="7.44140625" style="3" customWidth="1"/>
    <col min="10240" max="10242" width="7.5546875" style="3" customWidth="1"/>
    <col min="10243" max="10243" width="5.6640625" style="3" customWidth="1"/>
    <col min="10244" max="10244" width="15.88671875" style="3" customWidth="1"/>
    <col min="10245" max="10245" width="19.44140625" style="3" customWidth="1"/>
    <col min="10246" max="10246" width="14.6640625" style="3" customWidth="1"/>
    <col min="10247" max="10247" width="4.109375" style="3" customWidth="1"/>
    <col min="10248" max="10489" width="9.109375" style="3" customWidth="1"/>
    <col min="10490" max="10490" width="1.33203125" style="3"/>
    <col min="10491" max="10491" width="1.33203125" style="3" customWidth="1"/>
    <col min="10492" max="10492" width="3.5546875" style="3" customWidth="1"/>
    <col min="10493" max="10493" width="11.109375" style="3" customWidth="1"/>
    <col min="10494" max="10494" width="9" style="3" customWidth="1"/>
    <col min="10495" max="10495" width="7.44140625" style="3" customWidth="1"/>
    <col min="10496" max="10498" width="7.5546875" style="3" customWidth="1"/>
    <col min="10499" max="10499" width="5.6640625" style="3" customWidth="1"/>
    <col min="10500" max="10500" width="15.88671875" style="3" customWidth="1"/>
    <col min="10501" max="10501" width="19.44140625" style="3" customWidth="1"/>
    <col min="10502" max="10502" width="14.6640625" style="3" customWidth="1"/>
    <col min="10503" max="10503" width="4.109375" style="3" customWidth="1"/>
    <col min="10504" max="10745" width="9.109375" style="3" customWidth="1"/>
    <col min="10746" max="10746" width="1.33203125" style="3"/>
    <col min="10747" max="10747" width="1.33203125" style="3" customWidth="1"/>
    <col min="10748" max="10748" width="3.5546875" style="3" customWidth="1"/>
    <col min="10749" max="10749" width="11.109375" style="3" customWidth="1"/>
    <col min="10750" max="10750" width="9" style="3" customWidth="1"/>
    <col min="10751" max="10751" width="7.44140625" style="3" customWidth="1"/>
    <col min="10752" max="10754" width="7.5546875" style="3" customWidth="1"/>
    <col min="10755" max="10755" width="5.6640625" style="3" customWidth="1"/>
    <col min="10756" max="10756" width="15.88671875" style="3" customWidth="1"/>
    <col min="10757" max="10757" width="19.44140625" style="3" customWidth="1"/>
    <col min="10758" max="10758" width="14.6640625" style="3" customWidth="1"/>
    <col min="10759" max="10759" width="4.109375" style="3" customWidth="1"/>
    <col min="10760" max="11001" width="9.109375" style="3" customWidth="1"/>
    <col min="11002" max="11002" width="1.33203125" style="3"/>
    <col min="11003" max="11003" width="1.33203125" style="3" customWidth="1"/>
    <col min="11004" max="11004" width="3.5546875" style="3" customWidth="1"/>
    <col min="11005" max="11005" width="11.109375" style="3" customWidth="1"/>
    <col min="11006" max="11006" width="9" style="3" customWidth="1"/>
    <col min="11007" max="11007" width="7.44140625" style="3" customWidth="1"/>
    <col min="11008" max="11010" width="7.5546875" style="3" customWidth="1"/>
    <col min="11011" max="11011" width="5.6640625" style="3" customWidth="1"/>
    <col min="11012" max="11012" width="15.88671875" style="3" customWidth="1"/>
    <col min="11013" max="11013" width="19.44140625" style="3" customWidth="1"/>
    <col min="11014" max="11014" width="14.6640625" style="3" customWidth="1"/>
    <col min="11015" max="11015" width="4.109375" style="3" customWidth="1"/>
    <col min="11016" max="11257" width="9.109375" style="3" customWidth="1"/>
    <col min="11258" max="11258" width="1.33203125" style="3"/>
    <col min="11259" max="11259" width="1.33203125" style="3" customWidth="1"/>
    <col min="11260" max="11260" width="3.5546875" style="3" customWidth="1"/>
    <col min="11261" max="11261" width="11.109375" style="3" customWidth="1"/>
    <col min="11262" max="11262" width="9" style="3" customWidth="1"/>
    <col min="11263" max="11263" width="7.44140625" style="3" customWidth="1"/>
    <col min="11264" max="11266" width="7.5546875" style="3" customWidth="1"/>
    <col min="11267" max="11267" width="5.6640625" style="3" customWidth="1"/>
    <col min="11268" max="11268" width="15.88671875" style="3" customWidth="1"/>
    <col min="11269" max="11269" width="19.44140625" style="3" customWidth="1"/>
    <col min="11270" max="11270" width="14.6640625" style="3" customWidth="1"/>
    <col min="11271" max="11271" width="4.109375" style="3" customWidth="1"/>
    <col min="11272" max="11513" width="9.109375" style="3" customWidth="1"/>
    <col min="11514" max="11514" width="1.33203125" style="3"/>
    <col min="11515" max="11515" width="1.33203125" style="3" customWidth="1"/>
    <col min="11516" max="11516" width="3.5546875" style="3" customWidth="1"/>
    <col min="11517" max="11517" width="11.109375" style="3" customWidth="1"/>
    <col min="11518" max="11518" width="9" style="3" customWidth="1"/>
    <col min="11519" max="11519" width="7.44140625" style="3" customWidth="1"/>
    <col min="11520" max="11522" width="7.5546875" style="3" customWidth="1"/>
    <col min="11523" max="11523" width="5.6640625" style="3" customWidth="1"/>
    <col min="11524" max="11524" width="15.88671875" style="3" customWidth="1"/>
    <col min="11525" max="11525" width="19.44140625" style="3" customWidth="1"/>
    <col min="11526" max="11526" width="14.6640625" style="3" customWidth="1"/>
    <col min="11527" max="11527" width="4.109375" style="3" customWidth="1"/>
    <col min="11528" max="11769" width="9.109375" style="3" customWidth="1"/>
    <col min="11770" max="11770" width="1.33203125" style="3"/>
    <col min="11771" max="11771" width="1.33203125" style="3" customWidth="1"/>
    <col min="11772" max="11772" width="3.5546875" style="3" customWidth="1"/>
    <col min="11773" max="11773" width="11.109375" style="3" customWidth="1"/>
    <col min="11774" max="11774" width="9" style="3" customWidth="1"/>
    <col min="11775" max="11775" width="7.44140625" style="3" customWidth="1"/>
    <col min="11776" max="11778" width="7.5546875" style="3" customWidth="1"/>
    <col min="11779" max="11779" width="5.6640625" style="3" customWidth="1"/>
    <col min="11780" max="11780" width="15.88671875" style="3" customWidth="1"/>
    <col min="11781" max="11781" width="19.44140625" style="3" customWidth="1"/>
    <col min="11782" max="11782" width="14.6640625" style="3" customWidth="1"/>
    <col min="11783" max="11783" width="4.109375" style="3" customWidth="1"/>
    <col min="11784" max="12025" width="9.109375" style="3" customWidth="1"/>
    <col min="12026" max="12026" width="1.33203125" style="3"/>
    <col min="12027" max="12027" width="1.33203125" style="3" customWidth="1"/>
    <col min="12028" max="12028" width="3.5546875" style="3" customWidth="1"/>
    <col min="12029" max="12029" width="11.109375" style="3" customWidth="1"/>
    <col min="12030" max="12030" width="9" style="3" customWidth="1"/>
    <col min="12031" max="12031" width="7.44140625" style="3" customWidth="1"/>
    <col min="12032" max="12034" width="7.5546875" style="3" customWidth="1"/>
    <col min="12035" max="12035" width="5.6640625" style="3" customWidth="1"/>
    <col min="12036" max="12036" width="15.88671875" style="3" customWidth="1"/>
    <col min="12037" max="12037" width="19.44140625" style="3" customWidth="1"/>
    <col min="12038" max="12038" width="14.6640625" style="3" customWidth="1"/>
    <col min="12039" max="12039" width="4.109375" style="3" customWidth="1"/>
    <col min="12040" max="12281" width="9.109375" style="3" customWidth="1"/>
    <col min="12282" max="12282" width="1.33203125" style="3"/>
    <col min="12283" max="12283" width="1.33203125" style="3" customWidth="1"/>
    <col min="12284" max="12284" width="3.5546875" style="3" customWidth="1"/>
    <col min="12285" max="12285" width="11.109375" style="3" customWidth="1"/>
    <col min="12286" max="12286" width="9" style="3" customWidth="1"/>
    <col min="12287" max="12287" width="7.44140625" style="3" customWidth="1"/>
    <col min="12288" max="12290" width="7.5546875" style="3" customWidth="1"/>
    <col min="12291" max="12291" width="5.6640625" style="3" customWidth="1"/>
    <col min="12292" max="12292" width="15.88671875" style="3" customWidth="1"/>
    <col min="12293" max="12293" width="19.44140625" style="3" customWidth="1"/>
    <col min="12294" max="12294" width="14.6640625" style="3" customWidth="1"/>
    <col min="12295" max="12295" width="4.109375" style="3" customWidth="1"/>
    <col min="12296" max="12537" width="9.109375" style="3" customWidth="1"/>
    <col min="12538" max="12538" width="1.33203125" style="3"/>
    <col min="12539" max="12539" width="1.33203125" style="3" customWidth="1"/>
    <col min="12540" max="12540" width="3.5546875" style="3" customWidth="1"/>
    <col min="12541" max="12541" width="11.109375" style="3" customWidth="1"/>
    <col min="12542" max="12542" width="9" style="3" customWidth="1"/>
    <col min="12543" max="12543" width="7.44140625" style="3" customWidth="1"/>
    <col min="12544" max="12546" width="7.5546875" style="3" customWidth="1"/>
    <col min="12547" max="12547" width="5.6640625" style="3" customWidth="1"/>
    <col min="12548" max="12548" width="15.88671875" style="3" customWidth="1"/>
    <col min="12549" max="12549" width="19.44140625" style="3" customWidth="1"/>
    <col min="12550" max="12550" width="14.6640625" style="3" customWidth="1"/>
    <col min="12551" max="12551" width="4.109375" style="3" customWidth="1"/>
    <col min="12552" max="12793" width="9.109375" style="3" customWidth="1"/>
    <col min="12794" max="12794" width="1.33203125" style="3"/>
    <col min="12795" max="12795" width="1.33203125" style="3" customWidth="1"/>
    <col min="12796" max="12796" width="3.5546875" style="3" customWidth="1"/>
    <col min="12797" max="12797" width="11.109375" style="3" customWidth="1"/>
    <col min="12798" max="12798" width="9" style="3" customWidth="1"/>
    <col min="12799" max="12799" width="7.44140625" style="3" customWidth="1"/>
    <col min="12800" max="12802" width="7.5546875" style="3" customWidth="1"/>
    <col min="12803" max="12803" width="5.6640625" style="3" customWidth="1"/>
    <col min="12804" max="12804" width="15.88671875" style="3" customWidth="1"/>
    <col min="12805" max="12805" width="19.44140625" style="3" customWidth="1"/>
    <col min="12806" max="12806" width="14.6640625" style="3" customWidth="1"/>
    <col min="12807" max="12807" width="4.109375" style="3" customWidth="1"/>
    <col min="12808" max="13049" width="9.109375" style="3" customWidth="1"/>
    <col min="13050" max="13050" width="1.33203125" style="3"/>
    <col min="13051" max="13051" width="1.33203125" style="3" customWidth="1"/>
    <col min="13052" max="13052" width="3.5546875" style="3" customWidth="1"/>
    <col min="13053" max="13053" width="11.109375" style="3" customWidth="1"/>
    <col min="13054" max="13054" width="9" style="3" customWidth="1"/>
    <col min="13055" max="13055" width="7.44140625" style="3" customWidth="1"/>
    <col min="13056" max="13058" width="7.5546875" style="3" customWidth="1"/>
    <col min="13059" max="13059" width="5.6640625" style="3" customWidth="1"/>
    <col min="13060" max="13060" width="15.88671875" style="3" customWidth="1"/>
    <col min="13061" max="13061" width="19.44140625" style="3" customWidth="1"/>
    <col min="13062" max="13062" width="14.6640625" style="3" customWidth="1"/>
    <col min="13063" max="13063" width="4.109375" style="3" customWidth="1"/>
    <col min="13064" max="13305" width="9.109375" style="3" customWidth="1"/>
    <col min="13306" max="13306" width="1.33203125" style="3"/>
    <col min="13307" max="13307" width="1.33203125" style="3" customWidth="1"/>
    <col min="13308" max="13308" width="3.5546875" style="3" customWidth="1"/>
    <col min="13309" max="13309" width="11.109375" style="3" customWidth="1"/>
    <col min="13310" max="13310" width="9" style="3" customWidth="1"/>
    <col min="13311" max="13311" width="7.44140625" style="3" customWidth="1"/>
    <col min="13312" max="13314" width="7.5546875" style="3" customWidth="1"/>
    <col min="13315" max="13315" width="5.6640625" style="3" customWidth="1"/>
    <col min="13316" max="13316" width="15.88671875" style="3" customWidth="1"/>
    <col min="13317" max="13317" width="19.44140625" style="3" customWidth="1"/>
    <col min="13318" max="13318" width="14.6640625" style="3" customWidth="1"/>
    <col min="13319" max="13319" width="4.109375" style="3" customWidth="1"/>
    <col min="13320" max="13561" width="9.109375" style="3" customWidth="1"/>
    <col min="13562" max="13562" width="1.33203125" style="3"/>
    <col min="13563" max="13563" width="1.33203125" style="3" customWidth="1"/>
    <col min="13564" max="13564" width="3.5546875" style="3" customWidth="1"/>
    <col min="13565" max="13565" width="11.109375" style="3" customWidth="1"/>
    <col min="13566" max="13566" width="9" style="3" customWidth="1"/>
    <col min="13567" max="13567" width="7.44140625" style="3" customWidth="1"/>
    <col min="13568" max="13570" width="7.5546875" style="3" customWidth="1"/>
    <col min="13571" max="13571" width="5.6640625" style="3" customWidth="1"/>
    <col min="13572" max="13572" width="15.88671875" style="3" customWidth="1"/>
    <col min="13573" max="13573" width="19.44140625" style="3" customWidth="1"/>
    <col min="13574" max="13574" width="14.6640625" style="3" customWidth="1"/>
    <col min="13575" max="13575" width="4.109375" style="3" customWidth="1"/>
    <col min="13576" max="13817" width="9.109375" style="3" customWidth="1"/>
    <col min="13818" max="13818" width="1.33203125" style="3"/>
    <col min="13819" max="13819" width="1.33203125" style="3" customWidth="1"/>
    <col min="13820" max="13820" width="3.5546875" style="3" customWidth="1"/>
    <col min="13821" max="13821" width="11.109375" style="3" customWidth="1"/>
    <col min="13822" max="13822" width="9" style="3" customWidth="1"/>
    <col min="13823" max="13823" width="7.44140625" style="3" customWidth="1"/>
    <col min="13824" max="13826" width="7.5546875" style="3" customWidth="1"/>
    <col min="13827" max="13827" width="5.6640625" style="3" customWidth="1"/>
    <col min="13828" max="13828" width="15.88671875" style="3" customWidth="1"/>
    <col min="13829" max="13829" width="19.44140625" style="3" customWidth="1"/>
    <col min="13830" max="13830" width="14.6640625" style="3" customWidth="1"/>
    <col min="13831" max="13831" width="4.109375" style="3" customWidth="1"/>
    <col min="13832" max="14073" width="9.109375" style="3" customWidth="1"/>
    <col min="14074" max="14074" width="1.33203125" style="3"/>
    <col min="14075" max="14075" width="1.33203125" style="3" customWidth="1"/>
    <col min="14076" max="14076" width="3.5546875" style="3" customWidth="1"/>
    <col min="14077" max="14077" width="11.109375" style="3" customWidth="1"/>
    <col min="14078" max="14078" width="9" style="3" customWidth="1"/>
    <col min="14079" max="14079" width="7.44140625" style="3" customWidth="1"/>
    <col min="14080" max="14082" width="7.5546875" style="3" customWidth="1"/>
    <col min="14083" max="14083" width="5.6640625" style="3" customWidth="1"/>
    <col min="14084" max="14084" width="15.88671875" style="3" customWidth="1"/>
    <col min="14085" max="14085" width="19.44140625" style="3" customWidth="1"/>
    <col min="14086" max="14086" width="14.6640625" style="3" customWidth="1"/>
    <col min="14087" max="14087" width="4.109375" style="3" customWidth="1"/>
    <col min="14088" max="14329" width="9.109375" style="3" customWidth="1"/>
    <col min="14330" max="14330" width="1.33203125" style="3"/>
    <col min="14331" max="14331" width="1.33203125" style="3" customWidth="1"/>
    <col min="14332" max="14332" width="3.5546875" style="3" customWidth="1"/>
    <col min="14333" max="14333" width="11.109375" style="3" customWidth="1"/>
    <col min="14334" max="14334" width="9" style="3" customWidth="1"/>
    <col min="14335" max="14335" width="7.44140625" style="3" customWidth="1"/>
    <col min="14336" max="14338" width="7.5546875" style="3" customWidth="1"/>
    <col min="14339" max="14339" width="5.6640625" style="3" customWidth="1"/>
    <col min="14340" max="14340" width="15.88671875" style="3" customWidth="1"/>
    <col min="14341" max="14341" width="19.44140625" style="3" customWidth="1"/>
    <col min="14342" max="14342" width="14.6640625" style="3" customWidth="1"/>
    <col min="14343" max="14343" width="4.109375" style="3" customWidth="1"/>
    <col min="14344" max="14585" width="9.109375" style="3" customWidth="1"/>
    <col min="14586" max="14586" width="1.33203125" style="3"/>
    <col min="14587" max="14587" width="1.33203125" style="3" customWidth="1"/>
    <col min="14588" max="14588" width="3.5546875" style="3" customWidth="1"/>
    <col min="14589" max="14589" width="11.109375" style="3" customWidth="1"/>
    <col min="14590" max="14590" width="9" style="3" customWidth="1"/>
    <col min="14591" max="14591" width="7.44140625" style="3" customWidth="1"/>
    <col min="14592" max="14594" width="7.5546875" style="3" customWidth="1"/>
    <col min="14595" max="14595" width="5.6640625" style="3" customWidth="1"/>
    <col min="14596" max="14596" width="15.88671875" style="3" customWidth="1"/>
    <col min="14597" max="14597" width="19.44140625" style="3" customWidth="1"/>
    <col min="14598" max="14598" width="14.6640625" style="3" customWidth="1"/>
    <col min="14599" max="14599" width="4.109375" style="3" customWidth="1"/>
    <col min="14600" max="14841" width="9.109375" style="3" customWidth="1"/>
    <col min="14842" max="14842" width="1.33203125" style="3"/>
    <col min="14843" max="14843" width="1.33203125" style="3" customWidth="1"/>
    <col min="14844" max="14844" width="3.5546875" style="3" customWidth="1"/>
    <col min="14845" max="14845" width="11.109375" style="3" customWidth="1"/>
    <col min="14846" max="14846" width="9" style="3" customWidth="1"/>
    <col min="14847" max="14847" width="7.44140625" style="3" customWidth="1"/>
    <col min="14848" max="14850" width="7.5546875" style="3" customWidth="1"/>
    <col min="14851" max="14851" width="5.6640625" style="3" customWidth="1"/>
    <col min="14852" max="14852" width="15.88671875" style="3" customWidth="1"/>
    <col min="14853" max="14853" width="19.44140625" style="3" customWidth="1"/>
    <col min="14854" max="14854" width="14.6640625" style="3" customWidth="1"/>
    <col min="14855" max="14855" width="4.109375" style="3" customWidth="1"/>
    <col min="14856" max="15097" width="9.109375" style="3" customWidth="1"/>
    <col min="15098" max="15098" width="1.33203125" style="3"/>
    <col min="15099" max="15099" width="1.33203125" style="3" customWidth="1"/>
    <col min="15100" max="15100" width="3.5546875" style="3" customWidth="1"/>
    <col min="15101" max="15101" width="11.109375" style="3" customWidth="1"/>
    <col min="15102" max="15102" width="9" style="3" customWidth="1"/>
    <col min="15103" max="15103" width="7.44140625" style="3" customWidth="1"/>
    <col min="15104" max="15106" width="7.5546875" style="3" customWidth="1"/>
    <col min="15107" max="15107" width="5.6640625" style="3" customWidth="1"/>
    <col min="15108" max="15108" width="15.88671875" style="3" customWidth="1"/>
    <col min="15109" max="15109" width="19.44140625" style="3" customWidth="1"/>
    <col min="15110" max="15110" width="14.6640625" style="3" customWidth="1"/>
    <col min="15111" max="15111" width="4.109375" style="3" customWidth="1"/>
    <col min="15112" max="15353" width="9.109375" style="3" customWidth="1"/>
    <col min="15354" max="15354" width="1.33203125" style="3"/>
    <col min="15355" max="15355" width="1.33203125" style="3" customWidth="1"/>
    <col min="15356" max="15356" width="3.5546875" style="3" customWidth="1"/>
    <col min="15357" max="15357" width="11.109375" style="3" customWidth="1"/>
    <col min="15358" max="15358" width="9" style="3" customWidth="1"/>
    <col min="15359" max="15359" width="7.44140625" style="3" customWidth="1"/>
    <col min="15360" max="15362" width="7.5546875" style="3" customWidth="1"/>
    <col min="15363" max="15363" width="5.6640625" style="3" customWidth="1"/>
    <col min="15364" max="15364" width="15.88671875" style="3" customWidth="1"/>
    <col min="15365" max="15365" width="19.44140625" style="3" customWidth="1"/>
    <col min="15366" max="15366" width="14.6640625" style="3" customWidth="1"/>
    <col min="15367" max="15367" width="4.109375" style="3" customWidth="1"/>
    <col min="15368" max="15609" width="9.109375" style="3" customWidth="1"/>
    <col min="15610" max="15610" width="1.33203125" style="3"/>
    <col min="15611" max="15611" width="1.33203125" style="3" customWidth="1"/>
    <col min="15612" max="15612" width="3.5546875" style="3" customWidth="1"/>
    <col min="15613" max="15613" width="11.109375" style="3" customWidth="1"/>
    <col min="15614" max="15614" width="9" style="3" customWidth="1"/>
    <col min="15615" max="15615" width="7.44140625" style="3" customWidth="1"/>
    <col min="15616" max="15618" width="7.5546875" style="3" customWidth="1"/>
    <col min="15619" max="15619" width="5.6640625" style="3" customWidth="1"/>
    <col min="15620" max="15620" width="15.88671875" style="3" customWidth="1"/>
    <col min="15621" max="15621" width="19.44140625" style="3" customWidth="1"/>
    <col min="15622" max="15622" width="14.6640625" style="3" customWidth="1"/>
    <col min="15623" max="15623" width="4.109375" style="3" customWidth="1"/>
    <col min="15624" max="15865" width="9.109375" style="3" customWidth="1"/>
    <col min="15866" max="15866" width="1.33203125" style="3"/>
    <col min="15867" max="15867" width="1.33203125" style="3" customWidth="1"/>
    <col min="15868" max="15868" width="3.5546875" style="3" customWidth="1"/>
    <col min="15869" max="15869" width="11.109375" style="3" customWidth="1"/>
    <col min="15870" max="15870" width="9" style="3" customWidth="1"/>
    <col min="15871" max="15871" width="7.44140625" style="3" customWidth="1"/>
    <col min="15872" max="15874" width="7.5546875" style="3" customWidth="1"/>
    <col min="15875" max="15875" width="5.6640625" style="3" customWidth="1"/>
    <col min="15876" max="15876" width="15.88671875" style="3" customWidth="1"/>
    <col min="15877" max="15877" width="19.44140625" style="3" customWidth="1"/>
    <col min="15878" max="15878" width="14.6640625" style="3" customWidth="1"/>
    <col min="15879" max="15879" width="4.109375" style="3" customWidth="1"/>
    <col min="15880" max="16121" width="9.109375" style="3" customWidth="1"/>
    <col min="16122" max="16122" width="1.33203125" style="3"/>
    <col min="16123" max="16123" width="1.33203125" style="3" customWidth="1"/>
    <col min="16124" max="16124" width="3.5546875" style="3" customWidth="1"/>
    <col min="16125" max="16125" width="11.109375" style="3" customWidth="1"/>
    <col min="16126" max="16126" width="9" style="3" customWidth="1"/>
    <col min="16127" max="16127" width="7.44140625" style="3" customWidth="1"/>
    <col min="16128" max="16130" width="7.5546875" style="3" customWidth="1"/>
    <col min="16131" max="16131" width="5.6640625" style="3" customWidth="1"/>
    <col min="16132" max="16132" width="15.88671875" style="3" customWidth="1"/>
    <col min="16133" max="16133" width="19.44140625" style="3" customWidth="1"/>
    <col min="16134" max="16134" width="14.6640625" style="3" customWidth="1"/>
    <col min="16135" max="16135" width="4.109375" style="3" customWidth="1"/>
    <col min="16136" max="16377" width="9.109375" style="3" customWidth="1"/>
    <col min="16378" max="16384" width="1.33203125" style="3"/>
  </cols>
  <sheetData>
    <row r="1" spans="1:8" ht="13.5" customHeight="1">
      <c r="A1" s="113"/>
      <c r="B1" s="114"/>
      <c r="C1" s="115"/>
      <c r="D1" s="115"/>
      <c r="E1" s="115"/>
      <c r="F1" s="115"/>
      <c r="G1" s="116"/>
    </row>
    <row r="2" spans="1:8" s="1" customFormat="1" ht="13.5" customHeight="1">
      <c r="A2" s="33"/>
      <c r="B2" s="57" t="s">
        <v>973</v>
      </c>
      <c r="C2" s="3"/>
      <c r="D2" s="3"/>
      <c r="E2" s="3"/>
      <c r="F2" s="4"/>
      <c r="H2" s="10"/>
    </row>
    <row r="3" spans="1:8" s="9" customFormat="1" ht="13.5" customHeight="1">
      <c r="A3" s="117"/>
      <c r="B3" s="118"/>
      <c r="C3" s="119"/>
      <c r="D3" s="120"/>
      <c r="E3" s="121"/>
      <c r="F3" s="119"/>
    </row>
    <row r="4" spans="1:8" s="1" customFormat="1" ht="13.5" customHeight="1">
      <c r="A4" s="33"/>
      <c r="B4" s="57" t="s">
        <v>474</v>
      </c>
      <c r="C4" s="3"/>
      <c r="D4" s="3"/>
      <c r="E4" s="3"/>
      <c r="F4" s="4"/>
    </row>
    <row r="5" spans="1:8" ht="13.5" customHeight="1">
      <c r="A5" s="113"/>
      <c r="B5" s="114"/>
      <c r="C5" s="115"/>
      <c r="D5" s="115"/>
      <c r="E5" s="115"/>
      <c r="F5" s="115"/>
      <c r="G5" s="122"/>
    </row>
    <row r="6" spans="1:8" ht="13.5" customHeight="1">
      <c r="A6" s="113"/>
      <c r="B6" s="114"/>
      <c r="C6" s="115"/>
      <c r="D6" s="115"/>
      <c r="E6" s="115"/>
      <c r="F6" s="115"/>
      <c r="G6" s="122"/>
    </row>
    <row r="7" spans="1:8" s="2" customFormat="1" ht="13.5" customHeight="1">
      <c r="A7" s="114"/>
      <c r="B7" s="123" t="s">
        <v>18</v>
      </c>
      <c r="C7" s="115"/>
      <c r="D7" s="115"/>
      <c r="E7" s="115"/>
      <c r="F7" s="115"/>
      <c r="G7" s="122"/>
    </row>
    <row r="8" spans="1:8" ht="13.5" customHeight="1">
      <c r="A8" s="113"/>
      <c r="B8" s="114"/>
      <c r="C8" s="115"/>
      <c r="D8" s="115"/>
      <c r="E8" s="115"/>
      <c r="F8" s="115"/>
      <c r="G8" s="122"/>
    </row>
    <row r="9" spans="1:8" ht="13.5" customHeight="1">
      <c r="A9" s="113">
        <v>1</v>
      </c>
      <c r="B9" s="124" t="s">
        <v>557</v>
      </c>
      <c r="C9" s="125"/>
      <c r="D9" s="125"/>
      <c r="E9" s="125"/>
      <c r="F9" s="125"/>
      <c r="G9" s="126"/>
    </row>
    <row r="10" spans="1:8" ht="41.4">
      <c r="A10" s="113"/>
      <c r="B10" s="124" t="s">
        <v>558</v>
      </c>
      <c r="C10" s="125"/>
      <c r="D10" s="125"/>
      <c r="E10" s="125"/>
      <c r="F10" s="125"/>
      <c r="G10" s="126"/>
    </row>
    <row r="11" spans="1:8" ht="41.4">
      <c r="A11" s="113"/>
      <c r="B11" s="124" t="s">
        <v>559</v>
      </c>
      <c r="C11" s="125"/>
      <c r="D11" s="125"/>
      <c r="E11" s="125"/>
      <c r="F11" s="125"/>
      <c r="G11" s="126"/>
    </row>
    <row r="12" spans="1:8" ht="41.4">
      <c r="A12" s="113"/>
      <c r="B12" s="124" t="s">
        <v>560</v>
      </c>
      <c r="C12" s="125"/>
      <c r="D12" s="125"/>
      <c r="E12" s="125"/>
      <c r="F12" s="125"/>
      <c r="G12" s="126"/>
    </row>
    <row r="13" spans="1:8" ht="41.4">
      <c r="A13" s="113"/>
      <c r="B13" s="124" t="s">
        <v>561</v>
      </c>
      <c r="C13" s="125"/>
      <c r="D13" s="125"/>
      <c r="E13" s="125"/>
      <c r="F13" s="125"/>
      <c r="G13" s="126"/>
    </row>
    <row r="14" spans="1:8" ht="41.4">
      <c r="A14" s="113"/>
      <c r="B14" s="124" t="s">
        <v>562</v>
      </c>
      <c r="C14" s="125"/>
      <c r="D14" s="125"/>
      <c r="E14" s="125"/>
      <c r="F14" s="125"/>
      <c r="G14" s="126"/>
    </row>
    <row r="15" spans="1:8" ht="41.4">
      <c r="A15" s="113"/>
      <c r="B15" s="124" t="s">
        <v>563</v>
      </c>
      <c r="C15" s="125"/>
      <c r="D15" s="125"/>
      <c r="E15" s="125"/>
      <c r="F15" s="125"/>
      <c r="G15" s="126"/>
    </row>
    <row r="16" spans="1:8" ht="13.5" customHeight="1">
      <c r="A16" s="113">
        <v>2</v>
      </c>
      <c r="B16" s="114"/>
      <c r="C16" s="115"/>
      <c r="D16" s="115"/>
      <c r="E16" s="115"/>
      <c r="F16" s="115"/>
      <c r="G16" s="122"/>
    </row>
    <row r="17" spans="1:7" ht="13.5" customHeight="1">
      <c r="A17" s="113"/>
      <c r="B17" s="114"/>
      <c r="C17" s="115"/>
      <c r="D17" s="115"/>
      <c r="E17" s="115"/>
      <c r="F17" s="115"/>
      <c r="G17" s="122"/>
    </row>
    <row r="18" spans="1:7" ht="13.5" customHeight="1">
      <c r="A18" s="113"/>
      <c r="B18" s="114"/>
      <c r="C18" s="115"/>
      <c r="D18" s="115"/>
      <c r="E18" s="115"/>
      <c r="F18" s="115"/>
      <c r="G18" s="122"/>
    </row>
    <row r="19" spans="1:7" ht="13.5" customHeight="1">
      <c r="A19" s="113"/>
      <c r="B19" s="123" t="s">
        <v>15</v>
      </c>
      <c r="C19" s="114"/>
      <c r="D19" s="127"/>
      <c r="E19" s="127"/>
      <c r="F19" s="115"/>
      <c r="G19" s="122"/>
    </row>
    <row r="20" spans="1:7" ht="13.5" customHeight="1">
      <c r="A20" s="113"/>
      <c r="B20" s="123"/>
      <c r="C20" s="114"/>
      <c r="D20" s="127"/>
      <c r="E20" s="127"/>
      <c r="F20" s="115"/>
      <c r="G20" s="122"/>
    </row>
    <row r="21" spans="1:7" ht="13.5" customHeight="1">
      <c r="A21" s="113"/>
      <c r="B21" s="123" t="s">
        <v>564</v>
      </c>
      <c r="C21" s="127"/>
      <c r="D21" s="127"/>
      <c r="E21" s="115"/>
      <c r="F21" s="115"/>
      <c r="G21" s="122"/>
    </row>
    <row r="22" spans="1:7" ht="13.5" customHeight="1">
      <c r="A22" s="113"/>
      <c r="B22" s="123"/>
      <c r="C22" s="127"/>
      <c r="D22" s="127"/>
      <c r="E22" s="115"/>
      <c r="F22" s="115"/>
      <c r="G22" s="122"/>
    </row>
    <row r="23" spans="1:7" ht="13.5" customHeight="1">
      <c r="A23" s="113"/>
      <c r="B23" s="123" t="s">
        <v>565</v>
      </c>
      <c r="C23" s="127"/>
      <c r="D23" s="127"/>
      <c r="E23" s="115"/>
      <c r="F23" s="115"/>
      <c r="G23" s="122"/>
    </row>
    <row r="24" spans="1:7" ht="13.5" customHeight="1">
      <c r="A24" s="113"/>
      <c r="B24" s="114"/>
      <c r="C24" s="128"/>
      <c r="D24" s="127"/>
      <c r="E24" s="115"/>
      <c r="F24" s="115"/>
      <c r="G24" s="122"/>
    </row>
    <row r="25" spans="1:7" ht="13.5" customHeight="1">
      <c r="A25" s="113"/>
      <c r="B25" s="123" t="s">
        <v>566</v>
      </c>
      <c r="C25" s="127"/>
      <c r="D25" s="127"/>
      <c r="E25" s="115"/>
      <c r="F25" s="115"/>
      <c r="G25" s="122"/>
    </row>
    <row r="26" spans="1:7" ht="13.5" customHeight="1">
      <c r="A26" s="113"/>
      <c r="B26" s="123"/>
      <c r="C26" s="127"/>
      <c r="D26" s="127"/>
      <c r="E26" s="115"/>
      <c r="F26" s="115"/>
      <c r="G26" s="122"/>
    </row>
    <row r="27" spans="1:7" ht="13.5" customHeight="1">
      <c r="A27" s="113"/>
      <c r="B27" s="123" t="s">
        <v>567</v>
      </c>
      <c r="C27" s="127"/>
      <c r="D27" s="127"/>
      <c r="E27" s="115"/>
      <c r="F27" s="115"/>
      <c r="G27" s="122"/>
    </row>
    <row r="28" spans="1:7" ht="13.5" customHeight="1">
      <c r="A28" s="113"/>
      <c r="B28" s="114"/>
      <c r="C28" s="115"/>
      <c r="D28" s="115"/>
      <c r="E28" s="115"/>
      <c r="F28" s="115"/>
      <c r="G28" s="122"/>
    </row>
    <row r="29" spans="1:7" ht="13.5" customHeight="1">
      <c r="A29" s="113"/>
      <c r="B29" s="123" t="s">
        <v>568</v>
      </c>
      <c r="C29" s="127"/>
      <c r="D29" s="127"/>
      <c r="E29" s="115"/>
      <c r="F29" s="115"/>
      <c r="G29" s="122"/>
    </row>
    <row r="30" spans="1:7" ht="13.5" customHeight="1">
      <c r="A30" s="113"/>
      <c r="B30" s="123"/>
      <c r="C30" s="127"/>
      <c r="D30" s="127"/>
      <c r="E30" s="115"/>
      <c r="F30" s="115"/>
      <c r="G30" s="122"/>
    </row>
    <row r="31" spans="1:7" ht="13.5" customHeight="1">
      <c r="A31" s="113"/>
      <c r="B31" s="123" t="s">
        <v>569</v>
      </c>
      <c r="C31" s="127"/>
      <c r="D31" s="127"/>
      <c r="E31" s="115"/>
      <c r="F31" s="115"/>
      <c r="G31" s="122"/>
    </row>
    <row r="32" spans="1:7" ht="13.5" customHeight="1">
      <c r="A32" s="113"/>
      <c r="B32" s="114"/>
      <c r="C32" s="115"/>
      <c r="D32" s="115"/>
      <c r="E32" s="115"/>
      <c r="F32" s="115"/>
      <c r="G32" s="122"/>
    </row>
    <row r="33" spans="1:7" ht="13.5" customHeight="1">
      <c r="A33" s="113"/>
      <c r="B33" s="123" t="s">
        <v>570</v>
      </c>
      <c r="C33" s="127"/>
      <c r="D33" s="127"/>
      <c r="E33" s="115"/>
      <c r="F33" s="115"/>
      <c r="G33" s="122"/>
    </row>
    <row r="34" spans="1:7" ht="13.5" customHeight="1">
      <c r="A34" s="113"/>
      <c r="B34" s="123"/>
      <c r="C34" s="127"/>
      <c r="D34" s="127"/>
      <c r="E34" s="115"/>
      <c r="F34" s="115"/>
      <c r="G34" s="122"/>
    </row>
    <row r="35" spans="1:7" ht="13.5" customHeight="1">
      <c r="A35" s="113"/>
      <c r="B35" s="123" t="s">
        <v>571</v>
      </c>
      <c r="C35" s="127"/>
      <c r="D35" s="127"/>
      <c r="E35" s="115"/>
      <c r="F35" s="115"/>
      <c r="G35" s="122"/>
    </row>
    <row r="36" spans="1:7" ht="13.5" customHeight="1">
      <c r="A36" s="113"/>
      <c r="B36" s="123"/>
      <c r="C36" s="127"/>
      <c r="D36" s="127"/>
      <c r="E36" s="115"/>
      <c r="F36" s="115"/>
      <c r="G36" s="122"/>
    </row>
    <row r="37" spans="1:7" ht="13.5" customHeight="1">
      <c r="A37" s="113"/>
      <c r="B37" s="123" t="s">
        <v>572</v>
      </c>
      <c r="C37" s="127"/>
      <c r="D37" s="127"/>
      <c r="E37" s="115"/>
      <c r="F37" s="115"/>
      <c r="G37" s="122"/>
    </row>
    <row r="38" spans="1:7" ht="13.5" customHeight="1">
      <c r="A38" s="113"/>
      <c r="B38" s="114"/>
      <c r="C38" s="115"/>
      <c r="D38" s="115"/>
      <c r="E38" s="115"/>
      <c r="F38" s="115"/>
      <c r="G38" s="122"/>
    </row>
    <row r="39" spans="1:7" ht="13.5" customHeight="1">
      <c r="A39" s="113"/>
      <c r="B39" s="123" t="s">
        <v>573</v>
      </c>
      <c r="C39" s="127"/>
      <c r="D39" s="127"/>
      <c r="E39" s="115"/>
      <c r="F39" s="115"/>
      <c r="G39" s="122"/>
    </row>
    <row r="40" spans="1:7" ht="13.5" customHeight="1">
      <c r="A40" s="113"/>
      <c r="B40" s="123"/>
      <c r="C40" s="127"/>
      <c r="D40" s="127"/>
      <c r="E40" s="115"/>
      <c r="F40" s="115"/>
      <c r="G40" s="122"/>
    </row>
    <row r="41" spans="1:7" ht="13.5" customHeight="1">
      <c r="A41" s="113"/>
      <c r="B41" s="123" t="s">
        <v>574</v>
      </c>
      <c r="C41" s="127"/>
      <c r="D41" s="127"/>
      <c r="E41" s="115"/>
      <c r="F41" s="115"/>
      <c r="G41" s="122"/>
    </row>
    <row r="42" spans="1:7" ht="13.5" customHeight="1">
      <c r="A42" s="113"/>
      <c r="B42" s="114"/>
      <c r="C42" s="115"/>
      <c r="D42" s="115"/>
      <c r="E42" s="115"/>
      <c r="F42" s="115"/>
      <c r="G42" s="122"/>
    </row>
    <row r="43" spans="1:7" ht="13.5" customHeight="1">
      <c r="A43" s="113"/>
      <c r="B43" s="123" t="s">
        <v>575</v>
      </c>
      <c r="C43" s="127"/>
      <c r="D43" s="127"/>
      <c r="E43" s="115"/>
      <c r="F43" s="115"/>
      <c r="G43" s="122"/>
    </row>
    <row r="44" spans="1:7" ht="13.5" customHeight="1">
      <c r="A44" s="113"/>
      <c r="B44" s="114"/>
      <c r="C44" s="115"/>
      <c r="D44" s="115"/>
      <c r="E44" s="115"/>
      <c r="F44" s="115"/>
      <c r="G44" s="122"/>
    </row>
    <row r="45" spans="1:7" ht="13.5" customHeight="1">
      <c r="A45" s="113"/>
      <c r="B45" s="114"/>
      <c r="C45" s="115"/>
      <c r="D45" s="115"/>
      <c r="E45" s="115"/>
      <c r="F45" s="115"/>
      <c r="G45" s="122"/>
    </row>
    <row r="46" spans="1:7" ht="13.5" customHeight="1">
      <c r="A46" s="113"/>
      <c r="B46" s="114"/>
      <c r="C46" s="115"/>
      <c r="D46" s="115"/>
      <c r="E46" s="115"/>
      <c r="F46" s="115"/>
      <c r="G46" s="122"/>
    </row>
    <row r="47" spans="1:7" ht="13.5" customHeight="1">
      <c r="A47" s="113"/>
      <c r="B47" s="114"/>
      <c r="C47" s="115"/>
      <c r="D47" s="115"/>
      <c r="E47" s="115"/>
      <c r="F47" s="115"/>
      <c r="G47" s="122"/>
    </row>
    <row r="48" spans="1:7" ht="13.5" customHeight="1">
      <c r="A48" s="113"/>
      <c r="B48" s="114"/>
      <c r="C48" s="115"/>
      <c r="D48" s="115"/>
      <c r="E48" s="115"/>
      <c r="F48" s="115"/>
      <c r="G48" s="122"/>
    </row>
    <row r="49" spans="1:7" ht="13.5" customHeight="1">
      <c r="A49" s="113"/>
      <c r="B49" s="114"/>
      <c r="C49" s="115"/>
      <c r="D49" s="115"/>
      <c r="E49" s="115"/>
      <c r="F49" s="115"/>
      <c r="G49" s="122"/>
    </row>
    <row r="50" spans="1:7" ht="13.5" customHeight="1">
      <c r="A50" s="113"/>
      <c r="B50" s="114"/>
      <c r="C50" s="115"/>
      <c r="D50" s="115"/>
      <c r="E50" s="115"/>
      <c r="F50" s="115"/>
      <c r="G50" s="122"/>
    </row>
    <row r="51" spans="1:7" ht="13.5" customHeight="1">
      <c r="A51" s="113"/>
      <c r="B51" s="114"/>
      <c r="C51" s="115"/>
      <c r="D51" s="115"/>
      <c r="E51" s="115"/>
      <c r="F51" s="115"/>
      <c r="G51" s="122"/>
    </row>
    <row r="52" spans="1:7" ht="13.5" customHeight="1">
      <c r="A52" s="113"/>
      <c r="B52" s="114"/>
      <c r="C52" s="115"/>
      <c r="D52" s="115"/>
      <c r="E52" s="115"/>
      <c r="F52" s="115"/>
      <c r="G52" s="122"/>
    </row>
    <row r="53" spans="1:7" ht="13.5" customHeight="1">
      <c r="A53" s="113"/>
      <c r="B53" s="114"/>
      <c r="C53" s="115"/>
      <c r="D53" s="115"/>
      <c r="E53" s="115"/>
      <c r="F53" s="115"/>
      <c r="G53" s="122"/>
    </row>
    <row r="54" spans="1:7" ht="13.5" customHeight="1">
      <c r="A54" s="113"/>
      <c r="B54" s="114"/>
      <c r="C54" s="115"/>
      <c r="D54" s="115"/>
      <c r="E54" s="115"/>
      <c r="F54" s="115"/>
      <c r="G54" s="122"/>
    </row>
    <row r="55" spans="1:7" ht="13.5" customHeight="1">
      <c r="A55" s="113"/>
      <c r="B55" s="114"/>
      <c r="C55" s="115"/>
      <c r="D55" s="115"/>
      <c r="E55" s="115"/>
      <c r="F55" s="115"/>
      <c r="G55" s="122"/>
    </row>
    <row r="56" spans="1:7" ht="13.5" customHeight="1">
      <c r="A56" s="113"/>
      <c r="B56" s="114"/>
      <c r="C56" s="115"/>
      <c r="D56" s="115"/>
      <c r="E56" s="115"/>
      <c r="F56" s="115"/>
      <c r="G56" s="122"/>
    </row>
    <row r="57" spans="1:7" ht="13.5" customHeight="1">
      <c r="A57" s="113"/>
      <c r="B57" s="114"/>
      <c r="C57" s="115"/>
      <c r="D57" s="115"/>
      <c r="E57" s="115"/>
      <c r="F57" s="115"/>
      <c r="G57" s="122"/>
    </row>
    <row r="58" spans="1:7" s="8" customFormat="1" ht="13.5" customHeight="1">
      <c r="A58" s="408" t="s">
        <v>260</v>
      </c>
      <c r="B58" s="409" t="s">
        <v>309</v>
      </c>
      <c r="C58" s="410"/>
      <c r="D58" s="410"/>
      <c r="E58" s="410"/>
      <c r="F58" s="410"/>
      <c r="G58" s="411"/>
    </row>
    <row r="59" spans="1:7" ht="13.5" customHeight="1">
      <c r="A59" s="113"/>
      <c r="B59" s="131" t="s">
        <v>19</v>
      </c>
      <c r="C59" s="115"/>
      <c r="D59" s="115"/>
      <c r="E59" s="115"/>
      <c r="F59" s="115"/>
      <c r="G59" s="122"/>
    </row>
    <row r="60" spans="1:7" ht="13.5" customHeight="1">
      <c r="A60" s="113"/>
      <c r="B60" s="131"/>
      <c r="C60" s="115"/>
      <c r="D60" s="115"/>
      <c r="E60" s="115"/>
      <c r="F60" s="115"/>
      <c r="G60" s="122"/>
    </row>
    <row r="61" spans="1:7" ht="13.5" customHeight="1">
      <c r="A61" s="113"/>
      <c r="B61" s="131" t="s">
        <v>289</v>
      </c>
      <c r="C61" s="115"/>
      <c r="D61" s="115"/>
      <c r="E61" s="115"/>
      <c r="F61" s="115"/>
      <c r="G61" s="122"/>
    </row>
    <row r="62" spans="1:7" ht="13.5" customHeight="1">
      <c r="A62" s="113"/>
      <c r="B62" s="131"/>
      <c r="C62" s="115"/>
      <c r="D62" s="115"/>
      <c r="E62" s="115"/>
      <c r="F62" s="115"/>
      <c r="G62" s="122"/>
    </row>
    <row r="63" spans="1:7" ht="13.5" customHeight="1">
      <c r="A63" s="113"/>
      <c r="B63" s="131" t="s">
        <v>20</v>
      </c>
      <c r="C63" s="115"/>
      <c r="D63" s="115"/>
      <c r="E63" s="115"/>
      <c r="F63" s="115"/>
      <c r="G63" s="122"/>
    </row>
    <row r="64" spans="1:7" ht="13.5" customHeight="1">
      <c r="A64" s="113"/>
      <c r="B64" s="131"/>
      <c r="C64" s="115"/>
      <c r="D64" s="115"/>
      <c r="E64" s="115"/>
      <c r="F64" s="115"/>
      <c r="G64" s="122"/>
    </row>
    <row r="65" spans="1:7" ht="13.5" customHeight="1">
      <c r="A65" s="113" t="s">
        <v>2</v>
      </c>
      <c r="B65" s="131" t="s">
        <v>16</v>
      </c>
      <c r="C65" s="115"/>
      <c r="D65" s="115"/>
      <c r="E65" s="115"/>
      <c r="F65" s="115"/>
      <c r="G65" s="122"/>
    </row>
    <row r="66" spans="1:7" ht="13.5" customHeight="1">
      <c r="A66" s="113"/>
      <c r="B66" s="130" t="s">
        <v>581</v>
      </c>
      <c r="C66" s="115"/>
      <c r="D66" s="115"/>
      <c r="E66" s="115"/>
      <c r="F66" s="115"/>
      <c r="G66" s="122"/>
    </row>
    <row r="67" spans="1:7" ht="13.5" customHeight="1">
      <c r="A67" s="113"/>
      <c r="B67" s="130"/>
      <c r="C67" s="115"/>
      <c r="D67" s="115"/>
      <c r="E67" s="115"/>
      <c r="F67" s="115"/>
      <c r="G67" s="122"/>
    </row>
    <row r="68" spans="1:7" ht="13.5" customHeight="1">
      <c r="A68" s="113"/>
      <c r="B68" s="130" t="s">
        <v>121</v>
      </c>
      <c r="C68" s="115"/>
      <c r="D68" s="115"/>
      <c r="E68" s="115"/>
      <c r="F68" s="115"/>
      <c r="G68" s="122"/>
    </row>
    <row r="69" spans="1:7" ht="13.5" customHeight="1">
      <c r="A69" s="113"/>
      <c r="B69" s="130" t="s">
        <v>122</v>
      </c>
      <c r="C69" s="115"/>
      <c r="D69" s="115"/>
      <c r="E69" s="115"/>
      <c r="F69" s="115"/>
      <c r="G69" s="122"/>
    </row>
    <row r="70" spans="1:7" ht="13.5" customHeight="1">
      <c r="A70" s="113"/>
      <c r="B70" s="114" t="s">
        <v>123</v>
      </c>
      <c r="C70" s="115"/>
      <c r="D70" s="115"/>
      <c r="E70" s="115"/>
      <c r="F70" s="115"/>
      <c r="G70" s="122"/>
    </row>
    <row r="71" spans="1:7" ht="13.5" customHeight="1">
      <c r="A71" s="113"/>
      <c r="B71" s="114"/>
      <c r="C71" s="115"/>
      <c r="D71" s="115"/>
      <c r="E71" s="115"/>
      <c r="F71" s="115"/>
      <c r="G71" s="122"/>
    </row>
    <row r="72" spans="1:7" ht="13.5" customHeight="1">
      <c r="A72" s="113" t="s">
        <v>3</v>
      </c>
      <c r="B72" s="131" t="s">
        <v>17</v>
      </c>
      <c r="C72" s="115"/>
      <c r="D72" s="115"/>
      <c r="E72" s="115"/>
      <c r="F72" s="115"/>
      <c r="G72" s="122"/>
    </row>
    <row r="73" spans="1:7" ht="13.5" customHeight="1">
      <c r="A73" s="113"/>
      <c r="B73" s="130" t="s">
        <v>324</v>
      </c>
      <c r="C73" s="115"/>
      <c r="D73" s="115"/>
      <c r="E73" s="115"/>
      <c r="F73" s="115"/>
      <c r="G73" s="122"/>
    </row>
    <row r="74" spans="1:7" ht="13.5" customHeight="1">
      <c r="A74" s="113"/>
      <c r="B74" s="130"/>
      <c r="C74" s="115"/>
      <c r="D74" s="115"/>
      <c r="E74" s="115"/>
      <c r="F74" s="115"/>
      <c r="G74" s="122"/>
    </row>
    <row r="75" spans="1:7" ht="13.5" customHeight="1">
      <c r="A75" s="113"/>
      <c r="B75" s="130" t="s">
        <v>124</v>
      </c>
      <c r="C75" s="115"/>
      <c r="D75" s="115"/>
      <c r="E75" s="115"/>
      <c r="F75" s="115"/>
      <c r="G75" s="122"/>
    </row>
    <row r="76" spans="1:7" ht="13.5" customHeight="1">
      <c r="A76" s="113"/>
      <c r="B76" s="130" t="s">
        <v>125</v>
      </c>
      <c r="C76" s="115"/>
      <c r="D76" s="115"/>
      <c r="E76" s="115"/>
      <c r="F76" s="115"/>
      <c r="G76" s="122"/>
    </row>
    <row r="77" spans="1:7" ht="13.5" customHeight="1">
      <c r="A77" s="113"/>
      <c r="B77" s="130" t="s">
        <v>269</v>
      </c>
      <c r="C77" s="115"/>
      <c r="D77" s="115"/>
      <c r="E77" s="115"/>
      <c r="F77" s="115"/>
      <c r="G77" s="122"/>
    </row>
    <row r="78" spans="1:7" ht="13.5" customHeight="1">
      <c r="A78" s="113"/>
      <c r="B78" s="130" t="s">
        <v>126</v>
      </c>
      <c r="C78" s="115"/>
      <c r="D78" s="115"/>
      <c r="E78" s="115"/>
      <c r="F78" s="115"/>
      <c r="G78" s="122"/>
    </row>
    <row r="79" spans="1:7" ht="13.5" customHeight="1">
      <c r="A79" s="113" t="s">
        <v>11</v>
      </c>
      <c r="B79" s="130" t="s">
        <v>270</v>
      </c>
      <c r="C79" s="115"/>
      <c r="D79" s="115"/>
      <c r="E79" s="115"/>
      <c r="F79" s="115"/>
      <c r="G79" s="122"/>
    </row>
    <row r="80" spans="1:7" ht="13.5" customHeight="1">
      <c r="A80" s="113"/>
      <c r="B80" s="130" t="s">
        <v>127</v>
      </c>
      <c r="C80" s="115"/>
      <c r="D80" s="115"/>
      <c r="E80" s="115"/>
      <c r="F80" s="115"/>
      <c r="G80" s="122"/>
    </row>
    <row r="81" spans="1:7" ht="13.5" customHeight="1">
      <c r="A81" s="113"/>
      <c r="B81" s="130" t="s">
        <v>128</v>
      </c>
      <c r="C81" s="115"/>
      <c r="D81" s="115"/>
      <c r="E81" s="115"/>
      <c r="F81" s="115"/>
      <c r="G81" s="122"/>
    </row>
    <row r="82" spans="1:7" ht="13.5" customHeight="1">
      <c r="A82" s="113"/>
      <c r="B82" s="130" t="s">
        <v>129</v>
      </c>
      <c r="C82" s="115"/>
      <c r="D82" s="115"/>
      <c r="E82" s="115"/>
      <c r="F82" s="115"/>
      <c r="G82" s="122"/>
    </row>
    <row r="83" spans="1:7" ht="13.5" customHeight="1">
      <c r="A83" s="113"/>
      <c r="B83" s="130"/>
      <c r="C83" s="115"/>
      <c r="D83" s="115"/>
      <c r="E83" s="115"/>
      <c r="F83" s="115"/>
      <c r="G83" s="122"/>
    </row>
    <row r="84" spans="1:7" ht="13.5" customHeight="1">
      <c r="A84" s="113"/>
      <c r="B84" s="130" t="s">
        <v>21</v>
      </c>
      <c r="C84" s="115"/>
      <c r="D84" s="115"/>
      <c r="E84" s="115"/>
      <c r="F84" s="115"/>
      <c r="G84" s="122"/>
    </row>
    <row r="85" spans="1:7" ht="13.5" customHeight="1">
      <c r="A85" s="113"/>
      <c r="B85" s="130" t="s">
        <v>22</v>
      </c>
      <c r="C85" s="115"/>
      <c r="D85" s="115"/>
      <c r="E85" s="115"/>
      <c r="F85" s="115"/>
      <c r="G85" s="122"/>
    </row>
    <row r="86" spans="1:7" ht="13.5" customHeight="1">
      <c r="A86" s="113"/>
      <c r="B86" s="130"/>
      <c r="C86" s="115"/>
      <c r="D86" s="115"/>
      <c r="E86" s="115"/>
      <c r="F86" s="115"/>
      <c r="G86" s="122"/>
    </row>
    <row r="87" spans="1:7" ht="13.5" customHeight="1">
      <c r="A87" s="113"/>
      <c r="B87" s="130" t="s">
        <v>23</v>
      </c>
      <c r="C87" s="115"/>
      <c r="D87" s="115"/>
      <c r="E87" s="115"/>
      <c r="F87" s="115"/>
      <c r="G87" s="122"/>
    </row>
    <row r="88" spans="1:7" ht="13.5" customHeight="1">
      <c r="A88" s="113"/>
      <c r="B88" s="130" t="s">
        <v>24</v>
      </c>
      <c r="C88" s="115"/>
      <c r="D88" s="115"/>
      <c r="E88" s="115"/>
      <c r="F88" s="115"/>
      <c r="G88" s="122"/>
    </row>
    <row r="89" spans="1:7" ht="13.5" customHeight="1">
      <c r="A89" s="113"/>
      <c r="B89" s="130" t="s">
        <v>130</v>
      </c>
      <c r="C89" s="115"/>
      <c r="D89" s="115"/>
      <c r="E89" s="115"/>
      <c r="F89" s="115"/>
      <c r="G89" s="122"/>
    </row>
    <row r="90" spans="1:7" ht="13.5" customHeight="1">
      <c r="A90" s="113"/>
      <c r="B90" s="130" t="s">
        <v>131</v>
      </c>
      <c r="C90" s="115"/>
      <c r="D90" s="115"/>
      <c r="E90" s="115"/>
      <c r="F90" s="115"/>
      <c r="G90" s="122"/>
    </row>
    <row r="91" spans="1:7" ht="13.5" customHeight="1">
      <c r="A91" s="113"/>
      <c r="B91" s="130"/>
      <c r="C91" s="115"/>
      <c r="D91" s="115"/>
      <c r="E91" s="115"/>
      <c r="F91" s="115"/>
      <c r="G91" s="122"/>
    </row>
    <row r="92" spans="1:7" ht="13.5" customHeight="1">
      <c r="A92" s="113"/>
      <c r="B92" s="132" t="s">
        <v>25</v>
      </c>
      <c r="C92" s="115"/>
      <c r="D92" s="115"/>
      <c r="E92" s="115"/>
      <c r="F92" s="115"/>
      <c r="G92" s="133"/>
    </row>
    <row r="93" spans="1:7" ht="13.5" customHeight="1">
      <c r="A93" s="113"/>
      <c r="B93" s="130"/>
      <c r="C93" s="115"/>
      <c r="D93" s="115"/>
      <c r="E93" s="115"/>
      <c r="F93" s="132"/>
      <c r="G93" s="122"/>
    </row>
    <row r="94" spans="1:7" ht="13.5" customHeight="1">
      <c r="A94" s="113"/>
      <c r="B94" s="131" t="s">
        <v>27</v>
      </c>
      <c r="C94" s="115"/>
      <c r="D94" s="115"/>
      <c r="E94" s="115"/>
      <c r="F94" s="115"/>
      <c r="G94" s="122"/>
    </row>
    <row r="95" spans="1:7" ht="13.5" customHeight="1">
      <c r="A95" s="113" t="s">
        <v>2</v>
      </c>
      <c r="B95" s="131" t="s">
        <v>28</v>
      </c>
      <c r="C95" s="115"/>
      <c r="D95" s="115"/>
      <c r="E95" s="115"/>
      <c r="F95" s="115"/>
      <c r="G95" s="122"/>
    </row>
    <row r="96" spans="1:7" ht="13.5" customHeight="1">
      <c r="A96" s="113"/>
      <c r="B96" s="130" t="s">
        <v>132</v>
      </c>
      <c r="C96" s="115"/>
      <c r="D96" s="115"/>
      <c r="E96" s="115"/>
      <c r="F96" s="115"/>
      <c r="G96" s="122"/>
    </row>
    <row r="97" spans="1:7" ht="13.5" customHeight="1">
      <c r="A97" s="113"/>
      <c r="B97" s="130" t="s">
        <v>133</v>
      </c>
      <c r="C97" s="115"/>
      <c r="D97" s="115"/>
      <c r="E97" s="115"/>
      <c r="F97" s="115"/>
      <c r="G97" s="122"/>
    </row>
    <row r="98" spans="1:7" ht="13.5" customHeight="1">
      <c r="A98" s="113"/>
      <c r="B98" s="130" t="s">
        <v>134</v>
      </c>
      <c r="C98" s="115"/>
      <c r="D98" s="115"/>
      <c r="E98" s="115"/>
      <c r="F98" s="115"/>
      <c r="G98" s="122"/>
    </row>
    <row r="99" spans="1:7" ht="13.5" customHeight="1">
      <c r="A99" s="113"/>
      <c r="B99" s="130" t="s">
        <v>135</v>
      </c>
      <c r="C99" s="115"/>
      <c r="D99" s="115"/>
      <c r="E99" s="115"/>
      <c r="F99" s="115"/>
      <c r="G99" s="122"/>
    </row>
    <row r="100" spans="1:7" ht="13.5" customHeight="1">
      <c r="A100" s="113"/>
      <c r="B100" s="130" t="s">
        <v>136</v>
      </c>
      <c r="C100" s="115"/>
      <c r="D100" s="115"/>
      <c r="E100" s="115"/>
      <c r="F100" s="115"/>
      <c r="G100" s="122"/>
    </row>
    <row r="101" spans="1:7" ht="13.5" customHeight="1">
      <c r="A101" s="113"/>
      <c r="B101" s="130"/>
      <c r="C101" s="115"/>
      <c r="D101" s="115"/>
      <c r="E101" s="115"/>
      <c r="F101" s="115"/>
      <c r="G101" s="122"/>
    </row>
    <row r="102" spans="1:7" ht="13.5" customHeight="1">
      <c r="A102" s="113" t="s">
        <v>3</v>
      </c>
      <c r="B102" s="131" t="s">
        <v>29</v>
      </c>
      <c r="C102" s="115"/>
      <c r="D102" s="115"/>
      <c r="E102" s="115"/>
      <c r="F102" s="115"/>
      <c r="G102" s="122"/>
    </row>
    <row r="103" spans="1:7" ht="13.5" customHeight="1">
      <c r="A103" s="113"/>
      <c r="B103" s="130" t="s">
        <v>30</v>
      </c>
      <c r="C103" s="115"/>
      <c r="D103" s="115"/>
      <c r="E103" s="115"/>
      <c r="F103" s="115"/>
      <c r="G103" s="122"/>
    </row>
    <row r="104" spans="1:7" ht="13.5" customHeight="1">
      <c r="A104" s="113"/>
      <c r="B104" s="130" t="s">
        <v>31</v>
      </c>
      <c r="C104" s="115"/>
      <c r="D104" s="115"/>
      <c r="E104" s="115"/>
      <c r="F104" s="115"/>
      <c r="G104" s="122"/>
    </row>
    <row r="105" spans="1:7" ht="13.5" customHeight="1">
      <c r="A105" s="113"/>
      <c r="B105" s="130"/>
      <c r="C105" s="115"/>
      <c r="D105" s="115"/>
      <c r="E105" s="115"/>
      <c r="F105" s="115"/>
      <c r="G105" s="122"/>
    </row>
    <row r="106" spans="1:7" ht="13.5" customHeight="1">
      <c r="A106" s="113" t="s">
        <v>4</v>
      </c>
      <c r="B106" s="131" t="s">
        <v>32</v>
      </c>
      <c r="C106" s="115"/>
      <c r="D106" s="115"/>
      <c r="E106" s="115"/>
      <c r="F106" s="115"/>
      <c r="G106" s="122"/>
    </row>
    <row r="107" spans="1:7" ht="13.5" customHeight="1">
      <c r="A107" s="113"/>
      <c r="B107" s="130" t="s">
        <v>33</v>
      </c>
      <c r="C107" s="115"/>
      <c r="D107" s="115"/>
      <c r="E107" s="115"/>
      <c r="F107" s="115"/>
      <c r="G107" s="122"/>
    </row>
    <row r="108" spans="1:7" ht="13.5" customHeight="1">
      <c r="A108" s="113"/>
      <c r="B108" s="130"/>
      <c r="C108" s="115"/>
      <c r="D108" s="115"/>
      <c r="E108" s="115"/>
      <c r="F108" s="115"/>
      <c r="G108" s="122"/>
    </row>
    <row r="109" spans="1:7" ht="13.5" customHeight="1">
      <c r="A109" s="113"/>
      <c r="B109" s="130" t="s">
        <v>582</v>
      </c>
      <c r="C109" s="115"/>
      <c r="D109" s="115"/>
      <c r="E109" s="115"/>
      <c r="F109" s="115"/>
      <c r="G109" s="122"/>
    </row>
    <row r="110" spans="1:7" ht="13.5" customHeight="1">
      <c r="A110" s="113"/>
      <c r="B110" s="130"/>
      <c r="C110" s="115"/>
      <c r="D110" s="115"/>
      <c r="E110" s="115"/>
      <c r="F110" s="115"/>
      <c r="G110" s="122"/>
    </row>
    <row r="111" spans="1:7" ht="13.5" customHeight="1">
      <c r="A111" s="113" t="s">
        <v>26</v>
      </c>
      <c r="B111" s="130" t="s">
        <v>583</v>
      </c>
      <c r="C111" s="115"/>
      <c r="D111" s="115"/>
      <c r="E111" s="115"/>
      <c r="F111" s="115"/>
      <c r="G111" s="122"/>
    </row>
    <row r="112" spans="1:7" ht="13.5" customHeight="1">
      <c r="A112" s="113"/>
      <c r="B112" s="130"/>
      <c r="C112" s="115"/>
      <c r="D112" s="115"/>
      <c r="E112" s="115"/>
      <c r="F112" s="115"/>
      <c r="G112" s="122"/>
    </row>
    <row r="113" spans="1:7" ht="13.5" customHeight="1">
      <c r="A113" s="113" t="s">
        <v>26</v>
      </c>
      <c r="B113" s="130" t="s">
        <v>584</v>
      </c>
      <c r="C113" s="115"/>
      <c r="D113" s="115"/>
      <c r="E113" s="115"/>
      <c r="F113" s="115"/>
      <c r="G113" s="122"/>
    </row>
    <row r="114" spans="1:7" ht="13.5" customHeight="1">
      <c r="A114" s="113"/>
      <c r="B114" s="115" t="s">
        <v>585</v>
      </c>
      <c r="C114" s="115"/>
      <c r="D114" s="115"/>
      <c r="E114" s="115"/>
      <c r="F114" s="115"/>
      <c r="G114" s="122"/>
    </row>
    <row r="115" spans="1:7" ht="13.5" customHeight="1">
      <c r="A115" s="113"/>
      <c r="B115" s="115"/>
      <c r="C115" s="115"/>
      <c r="D115" s="115"/>
      <c r="E115" s="115"/>
      <c r="F115" s="115"/>
      <c r="G115" s="122"/>
    </row>
    <row r="116" spans="1:7" ht="13.5" customHeight="1">
      <c r="A116" s="113"/>
      <c r="B116" s="130" t="s">
        <v>586</v>
      </c>
      <c r="C116" s="115"/>
      <c r="D116" s="115"/>
      <c r="E116" s="115"/>
      <c r="F116" s="115"/>
      <c r="G116" s="122"/>
    </row>
    <row r="117" spans="1:7" ht="13.5" customHeight="1">
      <c r="A117" s="113"/>
      <c r="B117" s="130"/>
      <c r="C117" s="115"/>
      <c r="D117" s="115"/>
      <c r="E117" s="115"/>
      <c r="F117" s="115"/>
      <c r="G117" s="122"/>
    </row>
    <row r="118" spans="1:7" ht="13.5" customHeight="1">
      <c r="A118" s="113" t="s">
        <v>26</v>
      </c>
      <c r="B118" s="130" t="s">
        <v>587</v>
      </c>
      <c r="C118" s="115"/>
      <c r="D118" s="115"/>
      <c r="E118" s="115"/>
      <c r="F118" s="115"/>
      <c r="G118" s="122"/>
    </row>
    <row r="119" spans="1:7" ht="13.5" customHeight="1">
      <c r="A119" s="113"/>
      <c r="B119" s="130"/>
      <c r="C119" s="115"/>
      <c r="D119" s="115"/>
      <c r="E119" s="115"/>
      <c r="F119" s="115"/>
      <c r="G119" s="122"/>
    </row>
    <row r="120" spans="1:7" ht="13.5" customHeight="1">
      <c r="A120" s="113" t="s">
        <v>26</v>
      </c>
      <c r="B120" s="130" t="s">
        <v>588</v>
      </c>
      <c r="C120" s="115"/>
      <c r="D120" s="115"/>
      <c r="E120" s="115"/>
      <c r="F120" s="115"/>
      <c r="G120" s="122"/>
    </row>
    <row r="121" spans="1:7" ht="13.5" customHeight="1">
      <c r="A121" s="113"/>
      <c r="B121" s="130"/>
      <c r="C121" s="115"/>
      <c r="D121" s="115"/>
      <c r="E121" s="115"/>
      <c r="F121" s="115"/>
      <c r="G121" s="122"/>
    </row>
    <row r="122" spans="1:7" ht="13.5" customHeight="1">
      <c r="A122" s="113" t="s">
        <v>26</v>
      </c>
      <c r="B122" s="130" t="s">
        <v>589</v>
      </c>
      <c r="C122" s="115"/>
      <c r="D122" s="115"/>
      <c r="E122" s="115"/>
      <c r="F122" s="115"/>
      <c r="G122" s="122"/>
    </row>
    <row r="123" spans="1:7" ht="13.5" customHeight="1">
      <c r="A123" s="113"/>
      <c r="B123" s="130"/>
      <c r="C123" s="115"/>
      <c r="D123" s="115"/>
      <c r="E123" s="115"/>
      <c r="F123" s="115"/>
      <c r="G123" s="122"/>
    </row>
    <row r="124" spans="1:7" ht="13.5" customHeight="1">
      <c r="A124" s="113" t="s">
        <v>26</v>
      </c>
      <c r="B124" s="130" t="s">
        <v>590</v>
      </c>
      <c r="C124" s="115"/>
      <c r="D124" s="115"/>
      <c r="E124" s="115"/>
      <c r="F124" s="115"/>
      <c r="G124" s="122"/>
    </row>
    <row r="125" spans="1:7" ht="13.5" customHeight="1">
      <c r="A125" s="113"/>
      <c r="B125" s="130"/>
      <c r="C125" s="115"/>
      <c r="D125" s="115"/>
      <c r="E125" s="115"/>
      <c r="F125" s="115"/>
      <c r="G125" s="122"/>
    </row>
    <row r="126" spans="1:7" ht="13.5" customHeight="1">
      <c r="A126" s="113" t="s">
        <v>26</v>
      </c>
      <c r="B126" s="130" t="s">
        <v>591</v>
      </c>
      <c r="C126" s="115"/>
      <c r="D126" s="115"/>
      <c r="E126" s="115"/>
      <c r="F126" s="115"/>
      <c r="G126" s="122"/>
    </row>
    <row r="127" spans="1:7" ht="13.5" customHeight="1">
      <c r="A127" s="113"/>
      <c r="B127" s="130"/>
      <c r="C127" s="115"/>
      <c r="D127" s="115"/>
      <c r="E127" s="115"/>
      <c r="F127" s="115"/>
      <c r="G127" s="122"/>
    </row>
    <row r="128" spans="1:7" ht="13.5" customHeight="1">
      <c r="A128" s="113" t="s">
        <v>26</v>
      </c>
      <c r="B128" s="130" t="s">
        <v>592</v>
      </c>
      <c r="C128" s="115"/>
      <c r="D128" s="115"/>
      <c r="E128" s="115"/>
      <c r="F128" s="115"/>
      <c r="G128" s="122"/>
    </row>
    <row r="129" spans="1:7" ht="13.5" customHeight="1">
      <c r="A129" s="113"/>
      <c r="B129" s="130"/>
      <c r="C129" s="115"/>
      <c r="D129" s="115"/>
      <c r="E129" s="115"/>
      <c r="F129" s="115"/>
      <c r="G129" s="122"/>
    </row>
    <row r="130" spans="1:7" ht="13.5" customHeight="1">
      <c r="A130" s="113" t="s">
        <v>26</v>
      </c>
      <c r="B130" s="130" t="s">
        <v>593</v>
      </c>
      <c r="C130" s="115"/>
      <c r="D130" s="115"/>
      <c r="E130" s="115"/>
      <c r="F130" s="115"/>
      <c r="G130" s="122"/>
    </row>
    <row r="131" spans="1:7" ht="13.5" customHeight="1">
      <c r="A131" s="113" t="s">
        <v>5</v>
      </c>
      <c r="B131" s="131" t="s">
        <v>34</v>
      </c>
      <c r="C131" s="115"/>
      <c r="D131" s="115"/>
      <c r="E131" s="115"/>
      <c r="F131" s="115"/>
      <c r="G131" s="122"/>
    </row>
    <row r="132" spans="1:7" ht="13.5" customHeight="1">
      <c r="A132" s="113"/>
      <c r="B132" s="130" t="s">
        <v>137</v>
      </c>
      <c r="C132" s="115"/>
      <c r="D132" s="115"/>
      <c r="E132" s="115"/>
      <c r="F132" s="115"/>
      <c r="G132" s="122"/>
    </row>
    <row r="133" spans="1:7" ht="13.5" customHeight="1">
      <c r="A133" s="113"/>
      <c r="B133" s="130" t="s">
        <v>138</v>
      </c>
      <c r="C133" s="115"/>
      <c r="D133" s="115"/>
      <c r="E133" s="115"/>
      <c r="F133" s="115"/>
      <c r="G133" s="122"/>
    </row>
    <row r="134" spans="1:7" ht="13.5" customHeight="1">
      <c r="A134" s="113"/>
      <c r="B134" s="130" t="s">
        <v>271</v>
      </c>
      <c r="C134" s="115"/>
      <c r="D134" s="115"/>
      <c r="E134" s="115"/>
      <c r="F134" s="115"/>
      <c r="G134" s="122"/>
    </row>
    <row r="135" spans="1:7" ht="13.5" customHeight="1">
      <c r="A135" s="113"/>
      <c r="B135" s="130" t="s">
        <v>35</v>
      </c>
      <c r="C135" s="115"/>
      <c r="D135" s="115"/>
      <c r="E135" s="115"/>
      <c r="F135" s="115"/>
      <c r="G135" s="122"/>
    </row>
    <row r="136" spans="1:7" ht="13.5" customHeight="1">
      <c r="A136" s="113" t="s">
        <v>26</v>
      </c>
      <c r="B136" s="130" t="s">
        <v>36</v>
      </c>
      <c r="C136" s="115"/>
      <c r="D136" s="115"/>
      <c r="E136" s="115"/>
      <c r="F136" s="115"/>
      <c r="G136" s="122"/>
    </row>
    <row r="137" spans="1:7" ht="13.5" customHeight="1">
      <c r="A137" s="113"/>
      <c r="B137" s="130" t="s">
        <v>37</v>
      </c>
      <c r="C137" s="115"/>
      <c r="D137" s="115"/>
      <c r="E137" s="115"/>
      <c r="F137" s="115"/>
      <c r="G137" s="122"/>
    </row>
    <row r="138" spans="1:7" ht="13.5" customHeight="1">
      <c r="A138" s="113"/>
      <c r="B138" s="130" t="s">
        <v>38</v>
      </c>
      <c r="C138" s="115"/>
      <c r="D138" s="115"/>
      <c r="E138" s="115"/>
      <c r="F138" s="115"/>
      <c r="G138" s="122"/>
    </row>
    <row r="139" spans="1:7" ht="13.5" customHeight="1">
      <c r="A139" s="113"/>
      <c r="B139" s="130"/>
      <c r="C139" s="115"/>
      <c r="D139" s="115"/>
      <c r="E139" s="115"/>
      <c r="F139" s="115"/>
      <c r="G139" s="122"/>
    </row>
    <row r="140" spans="1:7" ht="13.5" customHeight="1">
      <c r="A140" s="113" t="s">
        <v>6</v>
      </c>
      <c r="B140" s="131" t="s">
        <v>39</v>
      </c>
      <c r="C140" s="115"/>
      <c r="D140" s="115"/>
      <c r="E140" s="115"/>
      <c r="F140" s="115"/>
      <c r="G140" s="122"/>
    </row>
    <row r="141" spans="1:7" ht="13.5" customHeight="1">
      <c r="A141" s="113"/>
      <c r="B141" s="130" t="s">
        <v>139</v>
      </c>
      <c r="C141" s="115"/>
      <c r="D141" s="115"/>
      <c r="E141" s="115"/>
      <c r="F141" s="115"/>
      <c r="G141" s="122"/>
    </row>
    <row r="142" spans="1:7" ht="13.5" customHeight="1">
      <c r="A142" s="113"/>
      <c r="B142" s="130" t="s">
        <v>140</v>
      </c>
      <c r="C142" s="115"/>
      <c r="D142" s="115"/>
      <c r="E142" s="115"/>
      <c r="F142" s="115"/>
      <c r="G142" s="122"/>
    </row>
    <row r="143" spans="1:7" ht="13.5" customHeight="1">
      <c r="A143" s="113"/>
      <c r="B143" s="130" t="s">
        <v>141</v>
      </c>
      <c r="C143" s="115"/>
      <c r="D143" s="115"/>
      <c r="E143" s="115"/>
      <c r="F143" s="115"/>
      <c r="G143" s="122"/>
    </row>
    <row r="144" spans="1:7" ht="13.5" customHeight="1">
      <c r="A144" s="113"/>
      <c r="B144" s="130" t="s">
        <v>142</v>
      </c>
      <c r="C144" s="115"/>
      <c r="D144" s="115"/>
      <c r="E144" s="115"/>
      <c r="F144" s="115"/>
      <c r="G144" s="122"/>
    </row>
    <row r="145" spans="1:7" ht="13.5" customHeight="1">
      <c r="A145" s="113"/>
      <c r="B145" s="130" t="s">
        <v>143</v>
      </c>
      <c r="C145" s="115"/>
      <c r="D145" s="115"/>
      <c r="E145" s="115"/>
      <c r="F145" s="115"/>
      <c r="G145" s="122"/>
    </row>
    <row r="146" spans="1:7" ht="13.5" customHeight="1">
      <c r="A146" s="113"/>
      <c r="B146" s="130" t="s">
        <v>144</v>
      </c>
      <c r="C146" s="115"/>
      <c r="D146" s="115"/>
      <c r="E146" s="115"/>
      <c r="F146" s="115"/>
      <c r="G146" s="122"/>
    </row>
    <row r="147" spans="1:7" ht="13.5" customHeight="1">
      <c r="A147" s="113"/>
      <c r="B147" s="130"/>
      <c r="C147" s="115"/>
      <c r="D147" s="115"/>
      <c r="E147" s="115"/>
      <c r="F147" s="115"/>
      <c r="G147" s="122"/>
    </row>
    <row r="148" spans="1:7" ht="13.5" customHeight="1">
      <c r="A148" s="113"/>
      <c r="B148" s="132" t="s">
        <v>25</v>
      </c>
      <c r="C148" s="115"/>
      <c r="D148" s="115"/>
      <c r="E148" s="115"/>
      <c r="F148" s="115"/>
      <c r="G148" s="133"/>
    </row>
    <row r="149" spans="1:7" ht="13.5" customHeight="1">
      <c r="A149" s="113"/>
      <c r="B149" s="130"/>
      <c r="C149" s="115"/>
      <c r="D149" s="115"/>
      <c r="E149" s="115"/>
      <c r="F149" s="115"/>
      <c r="G149" s="122"/>
    </row>
    <row r="150" spans="1:7" ht="13.5" customHeight="1">
      <c r="A150" s="113" t="s">
        <v>7</v>
      </c>
      <c r="B150" s="131" t="s">
        <v>40</v>
      </c>
      <c r="C150" s="115"/>
      <c r="D150" s="115"/>
      <c r="E150" s="115"/>
      <c r="F150" s="115"/>
      <c r="G150" s="122"/>
    </row>
    <row r="151" spans="1:7" ht="13.5" customHeight="1">
      <c r="A151" s="113"/>
      <c r="B151" s="130" t="s">
        <v>145</v>
      </c>
      <c r="C151" s="115"/>
      <c r="D151" s="115"/>
      <c r="E151" s="115"/>
      <c r="F151" s="115"/>
      <c r="G151" s="122"/>
    </row>
    <row r="152" spans="1:7" ht="13.5" customHeight="1">
      <c r="A152" s="113"/>
      <c r="B152" s="130" t="s">
        <v>146</v>
      </c>
      <c r="C152" s="115"/>
      <c r="D152" s="115"/>
      <c r="E152" s="115"/>
      <c r="F152" s="115"/>
      <c r="G152" s="122"/>
    </row>
    <row r="153" spans="1:7" ht="13.5" customHeight="1">
      <c r="A153" s="113"/>
      <c r="B153" s="130" t="s">
        <v>147</v>
      </c>
      <c r="C153" s="115"/>
      <c r="D153" s="115"/>
      <c r="E153" s="115"/>
      <c r="F153" s="115"/>
      <c r="G153" s="122"/>
    </row>
    <row r="154" spans="1:7" ht="13.5" customHeight="1">
      <c r="A154" s="113"/>
      <c r="B154" s="130" t="s">
        <v>148</v>
      </c>
      <c r="C154" s="115"/>
      <c r="D154" s="115"/>
      <c r="E154" s="115"/>
      <c r="F154" s="115"/>
      <c r="G154" s="122"/>
    </row>
    <row r="155" spans="1:7" ht="13.5" customHeight="1">
      <c r="A155" s="113"/>
      <c r="B155" s="130"/>
      <c r="C155" s="115"/>
      <c r="D155" s="115"/>
      <c r="E155" s="115"/>
      <c r="F155" s="115"/>
      <c r="G155" s="122"/>
    </row>
    <row r="156" spans="1:7" ht="13.5" customHeight="1">
      <c r="A156" s="113"/>
      <c r="B156" s="130" t="s">
        <v>149</v>
      </c>
      <c r="C156" s="115"/>
      <c r="D156" s="115"/>
      <c r="E156" s="115"/>
      <c r="F156" s="115"/>
      <c r="G156" s="122"/>
    </row>
    <row r="157" spans="1:7" ht="13.5" customHeight="1">
      <c r="A157" s="113"/>
      <c r="B157" s="130" t="s">
        <v>150</v>
      </c>
      <c r="C157" s="115"/>
      <c r="D157" s="115"/>
      <c r="E157" s="115"/>
      <c r="F157" s="115"/>
      <c r="G157" s="122"/>
    </row>
    <row r="158" spans="1:7" ht="13.5" customHeight="1">
      <c r="A158" s="113"/>
      <c r="B158" s="130"/>
      <c r="C158" s="115"/>
      <c r="D158" s="115"/>
      <c r="E158" s="115"/>
      <c r="F158" s="115"/>
      <c r="G158" s="122"/>
    </row>
    <row r="159" spans="1:7" ht="13.5" customHeight="1">
      <c r="A159" s="113" t="s">
        <v>600</v>
      </c>
      <c r="B159" s="131" t="s">
        <v>41</v>
      </c>
      <c r="C159" s="115"/>
      <c r="D159" s="115"/>
      <c r="E159" s="115"/>
      <c r="F159" s="115"/>
      <c r="G159" s="122"/>
    </row>
    <row r="160" spans="1:7" ht="13.5" customHeight="1">
      <c r="A160" s="113"/>
      <c r="B160" s="130" t="s">
        <v>151</v>
      </c>
      <c r="C160" s="115"/>
      <c r="D160" s="115"/>
      <c r="E160" s="115"/>
      <c r="F160" s="115"/>
      <c r="G160" s="122"/>
    </row>
    <row r="161" spans="1:7" ht="13.5" customHeight="1">
      <c r="A161" s="113"/>
      <c r="B161" s="130" t="s">
        <v>152</v>
      </c>
      <c r="C161" s="115"/>
      <c r="D161" s="115"/>
      <c r="E161" s="115"/>
      <c r="F161" s="115"/>
      <c r="G161" s="122"/>
    </row>
    <row r="162" spans="1:7" ht="13.5" customHeight="1">
      <c r="A162" s="113"/>
      <c r="B162" s="130" t="s">
        <v>153</v>
      </c>
      <c r="C162" s="115"/>
      <c r="D162" s="115"/>
      <c r="E162" s="115"/>
      <c r="F162" s="115"/>
      <c r="G162" s="122"/>
    </row>
    <row r="163" spans="1:7" ht="13.5" customHeight="1">
      <c r="A163" s="113"/>
      <c r="B163" s="130" t="s">
        <v>154</v>
      </c>
      <c r="C163" s="115"/>
      <c r="D163" s="115"/>
      <c r="E163" s="115"/>
      <c r="F163" s="115"/>
      <c r="G163" s="122"/>
    </row>
    <row r="164" spans="1:7" ht="13.5" customHeight="1">
      <c r="A164" s="113"/>
      <c r="B164" s="130" t="s">
        <v>155</v>
      </c>
      <c r="C164" s="115"/>
      <c r="D164" s="115"/>
      <c r="E164" s="115"/>
      <c r="F164" s="115"/>
      <c r="G164" s="122"/>
    </row>
    <row r="165" spans="1:7" ht="13.5" customHeight="1">
      <c r="A165" s="113"/>
      <c r="B165" s="130" t="s">
        <v>156</v>
      </c>
      <c r="C165" s="115"/>
      <c r="D165" s="115"/>
      <c r="E165" s="115"/>
      <c r="F165" s="115"/>
      <c r="G165" s="122"/>
    </row>
    <row r="166" spans="1:7" ht="13.5" customHeight="1">
      <c r="A166" s="113"/>
      <c r="B166" s="130"/>
      <c r="C166" s="115"/>
      <c r="D166" s="115"/>
      <c r="E166" s="115"/>
      <c r="F166" s="115"/>
      <c r="G166" s="122"/>
    </row>
    <row r="167" spans="1:7" ht="13.5" customHeight="1">
      <c r="A167" s="113" t="s">
        <v>601</v>
      </c>
      <c r="B167" s="131" t="s">
        <v>42</v>
      </c>
      <c r="C167" s="115"/>
      <c r="D167" s="115"/>
      <c r="E167" s="115"/>
      <c r="F167" s="115"/>
      <c r="G167" s="122"/>
    </row>
    <row r="168" spans="1:7" ht="13.5" customHeight="1">
      <c r="A168" s="113"/>
      <c r="B168" s="130" t="s">
        <v>43</v>
      </c>
      <c r="C168" s="115"/>
      <c r="D168" s="115"/>
      <c r="E168" s="115"/>
      <c r="F168" s="115"/>
      <c r="G168" s="122"/>
    </row>
    <row r="169" spans="1:7" ht="13.5" customHeight="1">
      <c r="A169" s="113"/>
      <c r="B169" s="130" t="s">
        <v>44</v>
      </c>
      <c r="C169" s="115"/>
      <c r="D169" s="115"/>
      <c r="E169" s="115"/>
      <c r="F169" s="115"/>
      <c r="G169" s="122"/>
    </row>
    <row r="170" spans="1:7" ht="13.5" customHeight="1">
      <c r="A170" s="113"/>
      <c r="B170" s="130" t="s">
        <v>45</v>
      </c>
      <c r="C170" s="115"/>
      <c r="D170" s="115"/>
      <c r="E170" s="115"/>
      <c r="F170" s="115"/>
      <c r="G170" s="122"/>
    </row>
    <row r="171" spans="1:7" ht="13.5" customHeight="1">
      <c r="A171" s="113"/>
      <c r="B171" s="130"/>
      <c r="C171" s="115"/>
      <c r="D171" s="115"/>
      <c r="E171" s="115"/>
      <c r="F171" s="115"/>
      <c r="G171" s="122"/>
    </row>
    <row r="172" spans="1:7" ht="13.5" customHeight="1">
      <c r="A172" s="113" t="s">
        <v>602</v>
      </c>
      <c r="B172" s="131" t="s">
        <v>46</v>
      </c>
      <c r="C172" s="115"/>
      <c r="D172" s="115"/>
      <c r="E172" s="115"/>
      <c r="F172" s="115"/>
      <c r="G172" s="122"/>
    </row>
    <row r="173" spans="1:7" ht="13.5" customHeight="1">
      <c r="A173" s="113"/>
      <c r="B173" s="130" t="s">
        <v>157</v>
      </c>
      <c r="C173" s="115"/>
      <c r="D173" s="115"/>
      <c r="E173" s="115"/>
      <c r="F173" s="115"/>
      <c r="G173" s="122"/>
    </row>
    <row r="174" spans="1:7" ht="13.5" customHeight="1">
      <c r="A174" s="113"/>
      <c r="B174" s="130" t="s">
        <v>158</v>
      </c>
      <c r="C174" s="115"/>
      <c r="D174" s="115"/>
      <c r="E174" s="115"/>
      <c r="F174" s="115"/>
      <c r="G174" s="122"/>
    </row>
    <row r="175" spans="1:7" ht="13.5" customHeight="1">
      <c r="A175" s="113"/>
      <c r="B175" s="130"/>
      <c r="C175" s="115"/>
      <c r="D175" s="115"/>
      <c r="E175" s="115"/>
      <c r="F175" s="115"/>
      <c r="G175" s="122"/>
    </row>
    <row r="176" spans="1:7" ht="13.5" customHeight="1">
      <c r="A176" s="113"/>
      <c r="B176" s="130" t="s">
        <v>159</v>
      </c>
      <c r="C176" s="115"/>
      <c r="D176" s="115"/>
      <c r="E176" s="115"/>
      <c r="F176" s="115"/>
      <c r="G176" s="122"/>
    </row>
    <row r="177" spans="1:7" ht="13.5" customHeight="1">
      <c r="A177" s="113"/>
      <c r="B177" s="130" t="s">
        <v>160</v>
      </c>
      <c r="C177" s="115"/>
      <c r="D177" s="115"/>
      <c r="E177" s="115"/>
      <c r="F177" s="115"/>
      <c r="G177" s="122"/>
    </row>
    <row r="178" spans="1:7" ht="13.5" customHeight="1">
      <c r="A178" s="113"/>
      <c r="B178" s="130" t="s">
        <v>161</v>
      </c>
      <c r="C178" s="115"/>
      <c r="D178" s="115"/>
      <c r="E178" s="115"/>
      <c r="F178" s="115"/>
      <c r="G178" s="122"/>
    </row>
    <row r="179" spans="1:7" ht="13.5" customHeight="1">
      <c r="A179" s="113"/>
      <c r="B179" s="130" t="s">
        <v>162</v>
      </c>
      <c r="C179" s="115"/>
      <c r="D179" s="115"/>
      <c r="E179" s="115"/>
      <c r="F179" s="115"/>
      <c r="G179" s="122"/>
    </row>
    <row r="180" spans="1:7" ht="13.5" customHeight="1">
      <c r="A180" s="113"/>
      <c r="B180" s="130" t="s">
        <v>163</v>
      </c>
      <c r="C180" s="115"/>
      <c r="D180" s="115"/>
      <c r="E180" s="115"/>
      <c r="F180" s="115"/>
      <c r="G180" s="122"/>
    </row>
    <row r="181" spans="1:7" ht="13.5" customHeight="1">
      <c r="A181" s="113"/>
      <c r="B181" s="130" t="s">
        <v>164</v>
      </c>
      <c r="C181" s="115"/>
      <c r="D181" s="115"/>
      <c r="E181" s="115"/>
      <c r="F181" s="115"/>
      <c r="G181" s="122"/>
    </row>
    <row r="182" spans="1:7" ht="13.5" customHeight="1">
      <c r="A182" s="113"/>
      <c r="B182" s="130"/>
      <c r="C182" s="115"/>
      <c r="D182" s="115"/>
      <c r="E182" s="115"/>
      <c r="F182" s="115"/>
      <c r="G182" s="122"/>
    </row>
    <row r="183" spans="1:7" ht="13.5" customHeight="1">
      <c r="A183" s="113" t="s">
        <v>603</v>
      </c>
      <c r="B183" s="131" t="s">
        <v>47</v>
      </c>
      <c r="C183" s="115"/>
      <c r="D183" s="115"/>
      <c r="E183" s="115"/>
      <c r="F183" s="115"/>
      <c r="G183" s="122"/>
    </row>
    <row r="184" spans="1:7" ht="13.5" customHeight="1">
      <c r="A184" s="113"/>
      <c r="B184" s="130" t="s">
        <v>165</v>
      </c>
      <c r="C184" s="115"/>
      <c r="D184" s="115"/>
      <c r="E184" s="115"/>
      <c r="F184" s="115"/>
      <c r="G184" s="122"/>
    </row>
    <row r="185" spans="1:7" ht="13.5" customHeight="1">
      <c r="A185" s="113"/>
      <c r="B185" s="130" t="s">
        <v>166</v>
      </c>
      <c r="C185" s="115"/>
      <c r="D185" s="115"/>
      <c r="E185" s="115"/>
      <c r="F185" s="115"/>
      <c r="G185" s="122"/>
    </row>
    <row r="186" spans="1:7" ht="13.5" customHeight="1">
      <c r="A186" s="113"/>
      <c r="B186" s="130" t="s">
        <v>167</v>
      </c>
      <c r="C186" s="115"/>
      <c r="D186" s="115"/>
      <c r="E186" s="115"/>
      <c r="F186" s="115"/>
      <c r="G186" s="122"/>
    </row>
    <row r="187" spans="1:7" ht="13.5" customHeight="1">
      <c r="A187" s="113"/>
      <c r="B187" s="130" t="s">
        <v>168</v>
      </c>
      <c r="C187" s="115"/>
      <c r="D187" s="115"/>
      <c r="E187" s="115"/>
      <c r="F187" s="115"/>
      <c r="G187" s="122"/>
    </row>
    <row r="188" spans="1:7" ht="13.5" customHeight="1">
      <c r="A188" s="113"/>
      <c r="B188" s="130" t="s">
        <v>169</v>
      </c>
      <c r="C188" s="115"/>
      <c r="D188" s="115"/>
      <c r="E188" s="115"/>
      <c r="F188" s="115"/>
      <c r="G188" s="122"/>
    </row>
    <row r="189" spans="1:7" ht="13.5" customHeight="1">
      <c r="A189" s="113"/>
      <c r="B189" s="130"/>
      <c r="C189" s="115"/>
      <c r="D189" s="115"/>
      <c r="E189" s="115"/>
      <c r="F189" s="115"/>
      <c r="G189" s="122"/>
    </row>
    <row r="190" spans="1:7" ht="13.5" customHeight="1">
      <c r="A190" s="113" t="s">
        <v>604</v>
      </c>
      <c r="B190" s="131" t="s">
        <v>48</v>
      </c>
      <c r="C190" s="115"/>
      <c r="D190" s="115"/>
      <c r="E190" s="115"/>
      <c r="F190" s="115"/>
      <c r="G190" s="122"/>
    </row>
    <row r="191" spans="1:7" ht="13.5" customHeight="1">
      <c r="A191" s="113"/>
      <c r="B191" s="130" t="s">
        <v>49</v>
      </c>
      <c r="C191" s="115"/>
      <c r="D191" s="115"/>
      <c r="E191" s="115"/>
      <c r="F191" s="115"/>
      <c r="G191" s="122"/>
    </row>
    <row r="192" spans="1:7" ht="13.5" customHeight="1">
      <c r="A192" s="113"/>
      <c r="B192" s="130" t="s">
        <v>50</v>
      </c>
      <c r="C192" s="115"/>
      <c r="D192" s="115"/>
      <c r="E192" s="115"/>
      <c r="F192" s="115"/>
      <c r="G192" s="122"/>
    </row>
    <row r="193" spans="1:7" ht="13.5" customHeight="1">
      <c r="A193" s="113"/>
      <c r="B193" s="130"/>
      <c r="C193" s="115"/>
      <c r="D193" s="115"/>
      <c r="E193" s="115"/>
      <c r="F193" s="115"/>
      <c r="G193" s="122"/>
    </row>
    <row r="194" spans="1:7" ht="13.5" customHeight="1">
      <c r="A194" s="113"/>
      <c r="B194" s="132" t="s">
        <v>25</v>
      </c>
      <c r="C194" s="115"/>
      <c r="D194" s="115"/>
      <c r="E194" s="115"/>
      <c r="F194" s="115"/>
      <c r="G194" s="122"/>
    </row>
    <row r="195" spans="1:7" ht="13.5" customHeight="1">
      <c r="A195" s="113"/>
      <c r="B195" s="130"/>
      <c r="C195" s="115"/>
      <c r="D195" s="115"/>
      <c r="E195" s="115"/>
      <c r="F195" s="115"/>
      <c r="G195" s="122"/>
    </row>
    <row r="196" spans="1:7" ht="13.5" customHeight="1">
      <c r="A196" s="113"/>
      <c r="B196" s="130"/>
      <c r="C196" s="115"/>
      <c r="D196" s="115"/>
      <c r="E196" s="115"/>
      <c r="F196" s="115"/>
      <c r="G196" s="122"/>
    </row>
    <row r="197" spans="1:7" ht="13.5" customHeight="1">
      <c r="A197" s="113" t="s">
        <v>2</v>
      </c>
      <c r="B197" s="131" t="s">
        <v>51</v>
      </c>
      <c r="C197" s="115"/>
      <c r="D197" s="115"/>
      <c r="E197" s="115"/>
      <c r="F197" s="115"/>
      <c r="G197" s="122"/>
    </row>
    <row r="198" spans="1:7" ht="13.5" customHeight="1">
      <c r="A198" s="113"/>
      <c r="B198" s="130" t="s">
        <v>52</v>
      </c>
      <c r="C198" s="115"/>
      <c r="D198" s="115"/>
      <c r="E198" s="115"/>
      <c r="F198" s="115"/>
      <c r="G198" s="122"/>
    </row>
    <row r="199" spans="1:7" ht="13.5" customHeight="1">
      <c r="A199" s="113"/>
      <c r="B199" s="130" t="s">
        <v>170</v>
      </c>
      <c r="C199" s="115"/>
      <c r="D199" s="115"/>
      <c r="E199" s="115"/>
      <c r="F199" s="115"/>
      <c r="G199" s="122"/>
    </row>
    <row r="200" spans="1:7" ht="13.5" customHeight="1">
      <c r="A200" s="113"/>
      <c r="B200" s="130" t="s">
        <v>171</v>
      </c>
      <c r="C200" s="115"/>
      <c r="D200" s="115"/>
      <c r="E200" s="115"/>
      <c r="F200" s="115"/>
      <c r="G200" s="122"/>
    </row>
    <row r="201" spans="1:7" ht="13.5" customHeight="1">
      <c r="A201" s="113"/>
      <c r="B201" s="130" t="s">
        <v>172</v>
      </c>
      <c r="C201" s="115"/>
      <c r="D201" s="115"/>
      <c r="E201" s="115"/>
      <c r="F201" s="115"/>
      <c r="G201" s="122"/>
    </row>
    <row r="202" spans="1:7" ht="13.5" customHeight="1">
      <c r="A202" s="113"/>
      <c r="B202" s="130" t="s">
        <v>173</v>
      </c>
      <c r="C202" s="115"/>
      <c r="D202" s="115"/>
      <c r="E202" s="115"/>
      <c r="F202" s="115"/>
      <c r="G202" s="122"/>
    </row>
    <row r="203" spans="1:7" ht="13.5" customHeight="1">
      <c r="A203" s="113"/>
      <c r="B203" s="130" t="s">
        <v>174</v>
      </c>
      <c r="C203" s="115"/>
      <c r="D203" s="115"/>
      <c r="E203" s="115"/>
      <c r="F203" s="115"/>
      <c r="G203" s="122"/>
    </row>
    <row r="204" spans="1:7" ht="13.5" customHeight="1">
      <c r="A204" s="113"/>
      <c r="B204" s="130" t="s">
        <v>175</v>
      </c>
      <c r="C204" s="115"/>
      <c r="D204" s="115"/>
      <c r="E204" s="115"/>
      <c r="F204" s="115"/>
      <c r="G204" s="122"/>
    </row>
    <row r="205" spans="1:7" ht="13.5" customHeight="1">
      <c r="A205" s="113"/>
      <c r="B205" s="130"/>
      <c r="C205" s="115"/>
      <c r="D205" s="115"/>
      <c r="E205" s="115"/>
      <c r="F205" s="115"/>
      <c r="G205" s="122"/>
    </row>
    <row r="206" spans="1:7" ht="13.5" customHeight="1">
      <c r="A206" s="113"/>
      <c r="B206" s="130" t="s">
        <v>176</v>
      </c>
      <c r="C206" s="115"/>
      <c r="D206" s="115"/>
      <c r="E206" s="115"/>
      <c r="F206" s="115"/>
      <c r="G206" s="122"/>
    </row>
    <row r="207" spans="1:7" ht="13.5" customHeight="1">
      <c r="A207" s="113"/>
      <c r="B207" s="130" t="s">
        <v>177</v>
      </c>
      <c r="C207" s="115"/>
      <c r="D207" s="115"/>
      <c r="E207" s="115"/>
      <c r="F207" s="115"/>
      <c r="G207" s="122"/>
    </row>
    <row r="208" spans="1:7" ht="13.5" customHeight="1">
      <c r="A208" s="113"/>
      <c r="B208" s="130" t="s">
        <v>178</v>
      </c>
      <c r="C208" s="115"/>
      <c r="D208" s="115"/>
      <c r="E208" s="115"/>
      <c r="F208" s="115"/>
      <c r="G208" s="122"/>
    </row>
    <row r="209" spans="1:7" ht="13.5" customHeight="1">
      <c r="A209" s="113"/>
      <c r="B209" s="130" t="s">
        <v>179</v>
      </c>
      <c r="C209" s="115"/>
      <c r="D209" s="115"/>
      <c r="E209" s="115"/>
      <c r="F209" s="115"/>
      <c r="G209" s="122"/>
    </row>
    <row r="210" spans="1:7" ht="13.5" customHeight="1">
      <c r="A210" s="113"/>
      <c r="B210" s="130" t="s">
        <v>180</v>
      </c>
      <c r="C210" s="115"/>
      <c r="D210" s="115"/>
      <c r="E210" s="115"/>
      <c r="F210" s="115"/>
      <c r="G210" s="122"/>
    </row>
    <row r="211" spans="1:7" ht="13.5" customHeight="1">
      <c r="A211" s="113"/>
      <c r="B211" s="130" t="s">
        <v>181</v>
      </c>
      <c r="C211" s="115"/>
      <c r="D211" s="115"/>
      <c r="E211" s="115"/>
      <c r="F211" s="115"/>
      <c r="G211" s="122"/>
    </row>
    <row r="212" spans="1:7" ht="13.5" customHeight="1">
      <c r="A212" s="113"/>
      <c r="B212" s="130"/>
      <c r="C212" s="115"/>
      <c r="D212" s="115"/>
      <c r="E212" s="115"/>
      <c r="F212" s="115"/>
      <c r="G212" s="122"/>
    </row>
    <row r="213" spans="1:7" ht="13.5" customHeight="1">
      <c r="A213" s="113"/>
      <c r="B213" s="130" t="s">
        <v>53</v>
      </c>
      <c r="C213" s="115"/>
      <c r="D213" s="115"/>
      <c r="E213" s="115"/>
      <c r="F213" s="115"/>
      <c r="G213" s="122"/>
    </row>
    <row r="214" spans="1:7" ht="13.5" customHeight="1">
      <c r="A214" s="113"/>
      <c r="B214" s="130" t="s">
        <v>54</v>
      </c>
      <c r="C214" s="115"/>
      <c r="D214" s="115"/>
      <c r="E214" s="115"/>
      <c r="F214" s="115"/>
      <c r="G214" s="122"/>
    </row>
    <row r="215" spans="1:7" ht="13.5" customHeight="1">
      <c r="A215" s="113"/>
      <c r="B215" s="130" t="s">
        <v>55</v>
      </c>
      <c r="C215" s="115"/>
      <c r="D215" s="115"/>
      <c r="E215" s="115"/>
      <c r="F215" s="115"/>
      <c r="G215" s="122"/>
    </row>
    <row r="216" spans="1:7" ht="13.5" customHeight="1">
      <c r="A216" s="113"/>
      <c r="B216" s="130"/>
      <c r="C216" s="115"/>
      <c r="D216" s="115"/>
      <c r="E216" s="115"/>
      <c r="F216" s="115"/>
      <c r="G216" s="122"/>
    </row>
    <row r="217" spans="1:7" ht="13.5" customHeight="1">
      <c r="A217" s="113"/>
      <c r="B217" s="130" t="s">
        <v>56</v>
      </c>
      <c r="C217" s="115"/>
      <c r="D217" s="115"/>
      <c r="E217" s="115"/>
      <c r="F217" s="115"/>
      <c r="G217" s="122"/>
    </row>
    <row r="218" spans="1:7" ht="13.5" customHeight="1">
      <c r="A218" s="113"/>
      <c r="B218" s="130"/>
      <c r="C218" s="115"/>
      <c r="D218" s="115"/>
      <c r="E218" s="115"/>
      <c r="F218" s="115"/>
      <c r="G218" s="122"/>
    </row>
    <row r="219" spans="1:7" ht="13.5" customHeight="1">
      <c r="A219" s="113" t="s">
        <v>3</v>
      </c>
      <c r="B219" s="131" t="s">
        <v>57</v>
      </c>
      <c r="C219" s="115"/>
      <c r="D219" s="115"/>
      <c r="E219" s="115"/>
      <c r="F219" s="115"/>
      <c r="G219" s="122"/>
    </row>
    <row r="220" spans="1:7" ht="13.5" customHeight="1">
      <c r="A220" s="113"/>
      <c r="B220" s="130" t="s">
        <v>58</v>
      </c>
      <c r="C220" s="115"/>
      <c r="D220" s="115"/>
      <c r="E220" s="115"/>
      <c r="F220" s="115"/>
      <c r="G220" s="122"/>
    </row>
    <row r="221" spans="1:7" ht="13.5" customHeight="1">
      <c r="A221" s="113"/>
      <c r="B221" s="130" t="s">
        <v>59</v>
      </c>
      <c r="C221" s="115"/>
      <c r="D221" s="115"/>
      <c r="E221" s="115"/>
      <c r="F221" s="115"/>
      <c r="G221" s="122"/>
    </row>
    <row r="222" spans="1:7" ht="13.5" customHeight="1">
      <c r="A222" s="113"/>
      <c r="B222" s="130"/>
      <c r="C222" s="115"/>
      <c r="D222" s="115"/>
      <c r="E222" s="115"/>
      <c r="F222" s="115"/>
      <c r="G222" s="122"/>
    </row>
    <row r="223" spans="1:7" ht="13.5" customHeight="1">
      <c r="A223" s="113"/>
      <c r="B223" s="130" t="s">
        <v>60</v>
      </c>
      <c r="C223" s="115"/>
      <c r="D223" s="115"/>
      <c r="E223" s="115"/>
      <c r="F223" s="115"/>
      <c r="G223" s="122"/>
    </row>
    <row r="224" spans="1:7" ht="13.5" customHeight="1">
      <c r="A224" s="113"/>
      <c r="B224" s="130" t="s">
        <v>182</v>
      </c>
      <c r="C224" s="115"/>
      <c r="D224" s="115"/>
      <c r="E224" s="115"/>
      <c r="F224" s="115"/>
      <c r="G224" s="122"/>
    </row>
    <row r="225" spans="1:7" ht="13.5" customHeight="1">
      <c r="A225" s="113"/>
      <c r="B225" s="130" t="s">
        <v>183</v>
      </c>
      <c r="C225" s="115"/>
      <c r="D225" s="115"/>
      <c r="E225" s="115"/>
      <c r="F225" s="115"/>
      <c r="G225" s="122"/>
    </row>
    <row r="226" spans="1:7" ht="13.5" customHeight="1">
      <c r="A226" s="113"/>
      <c r="B226" s="130" t="s">
        <v>184</v>
      </c>
      <c r="C226" s="115"/>
      <c r="D226" s="115"/>
      <c r="E226" s="115"/>
      <c r="F226" s="115"/>
      <c r="G226" s="122"/>
    </row>
    <row r="227" spans="1:7" ht="13.5" customHeight="1">
      <c r="A227" s="113"/>
      <c r="B227" s="130"/>
      <c r="C227" s="115"/>
      <c r="D227" s="115"/>
      <c r="E227" s="115"/>
      <c r="F227" s="115"/>
      <c r="G227" s="122"/>
    </row>
    <row r="228" spans="1:7" ht="13.5" customHeight="1">
      <c r="A228" s="113" t="s">
        <v>4</v>
      </c>
      <c r="B228" s="131" t="s">
        <v>61</v>
      </c>
      <c r="C228" s="115"/>
      <c r="D228" s="115"/>
      <c r="E228" s="115"/>
      <c r="F228" s="115"/>
      <c r="G228" s="122"/>
    </row>
    <row r="229" spans="1:7" ht="13.5" customHeight="1">
      <c r="A229" s="113"/>
      <c r="B229" s="130" t="s">
        <v>185</v>
      </c>
      <c r="C229" s="115"/>
      <c r="D229" s="115"/>
      <c r="E229" s="115"/>
      <c r="F229" s="115"/>
      <c r="G229" s="122"/>
    </row>
    <row r="230" spans="1:7" ht="13.5" customHeight="1">
      <c r="A230" s="113"/>
      <c r="B230" s="130" t="s">
        <v>186</v>
      </c>
      <c r="C230" s="115"/>
      <c r="D230" s="115"/>
      <c r="E230" s="115"/>
      <c r="F230" s="115"/>
      <c r="G230" s="122"/>
    </row>
    <row r="231" spans="1:7" ht="13.5" customHeight="1">
      <c r="A231" s="113"/>
      <c r="B231" s="130" t="s">
        <v>187</v>
      </c>
      <c r="C231" s="115"/>
      <c r="D231" s="115"/>
      <c r="E231" s="115"/>
      <c r="F231" s="115"/>
      <c r="G231" s="122"/>
    </row>
    <row r="232" spans="1:7" ht="13.5" customHeight="1">
      <c r="A232" s="113"/>
      <c r="B232" s="130" t="s">
        <v>188</v>
      </c>
      <c r="C232" s="115"/>
      <c r="D232" s="115"/>
      <c r="E232" s="115"/>
      <c r="F232" s="115"/>
      <c r="G232" s="122"/>
    </row>
    <row r="233" spans="1:7" ht="13.5" customHeight="1">
      <c r="A233" s="113"/>
      <c r="B233" s="130"/>
      <c r="C233" s="115"/>
      <c r="D233" s="115"/>
      <c r="E233" s="115"/>
      <c r="F233" s="115"/>
      <c r="G233" s="122"/>
    </row>
    <row r="234" spans="1:7" ht="13.5" customHeight="1">
      <c r="A234" s="113" t="s">
        <v>5</v>
      </c>
      <c r="B234" s="131" t="s">
        <v>62</v>
      </c>
      <c r="C234" s="115"/>
      <c r="D234" s="115"/>
      <c r="E234" s="115"/>
      <c r="F234" s="115"/>
      <c r="G234" s="122"/>
    </row>
    <row r="235" spans="1:7" ht="13.5" customHeight="1">
      <c r="A235" s="113"/>
      <c r="B235" s="130" t="s">
        <v>189</v>
      </c>
      <c r="C235" s="115"/>
      <c r="D235" s="115"/>
      <c r="E235" s="115"/>
      <c r="F235" s="115"/>
      <c r="G235" s="122"/>
    </row>
    <row r="236" spans="1:7" ht="13.5" customHeight="1">
      <c r="A236" s="113"/>
      <c r="B236" s="130" t="s">
        <v>190</v>
      </c>
      <c r="C236" s="115"/>
      <c r="D236" s="115"/>
      <c r="E236" s="115"/>
      <c r="F236" s="115"/>
      <c r="G236" s="122"/>
    </row>
    <row r="237" spans="1:7" ht="13.5" customHeight="1">
      <c r="A237" s="113"/>
      <c r="B237" s="130" t="s">
        <v>191</v>
      </c>
      <c r="C237" s="115"/>
      <c r="D237" s="115"/>
      <c r="E237" s="115"/>
      <c r="F237" s="115"/>
      <c r="G237" s="122"/>
    </row>
    <row r="238" spans="1:7" ht="13.5" customHeight="1">
      <c r="A238" s="113"/>
      <c r="B238" s="130"/>
      <c r="C238" s="115"/>
      <c r="D238" s="115"/>
      <c r="E238" s="115"/>
      <c r="F238" s="115"/>
      <c r="G238" s="122"/>
    </row>
    <row r="239" spans="1:7" ht="13.5" customHeight="1">
      <c r="A239" s="113"/>
      <c r="B239" s="130"/>
      <c r="C239" s="115"/>
      <c r="D239" s="115"/>
      <c r="E239" s="115"/>
      <c r="F239" s="115"/>
      <c r="G239" s="122"/>
    </row>
    <row r="240" spans="1:7" ht="13.5" customHeight="1">
      <c r="A240" s="113"/>
      <c r="B240" s="130" t="s">
        <v>192</v>
      </c>
      <c r="C240" s="115"/>
      <c r="D240" s="115"/>
      <c r="E240" s="115"/>
      <c r="F240" s="115"/>
      <c r="G240" s="122"/>
    </row>
    <row r="241" spans="1:7" ht="13.5" customHeight="1">
      <c r="A241" s="113"/>
      <c r="B241" s="130" t="s">
        <v>272</v>
      </c>
      <c r="C241" s="115"/>
      <c r="D241" s="115"/>
      <c r="E241" s="115"/>
      <c r="F241" s="115"/>
      <c r="G241" s="122"/>
    </row>
    <row r="242" spans="1:7" ht="13.5" customHeight="1">
      <c r="A242" s="113"/>
      <c r="B242" s="130"/>
      <c r="C242" s="115"/>
      <c r="D242" s="115"/>
      <c r="E242" s="115"/>
      <c r="F242" s="115"/>
      <c r="G242" s="122"/>
    </row>
    <row r="243" spans="1:7" ht="13.5" customHeight="1">
      <c r="A243" s="113"/>
      <c r="B243" s="132" t="s">
        <v>25</v>
      </c>
      <c r="C243" s="115"/>
      <c r="D243" s="115"/>
      <c r="E243" s="115"/>
      <c r="F243" s="115"/>
      <c r="G243" s="122"/>
    </row>
    <row r="244" spans="1:7" ht="13.5" customHeight="1">
      <c r="A244" s="113"/>
      <c r="B244" s="130"/>
      <c r="C244" s="115"/>
      <c r="D244" s="115"/>
      <c r="E244" s="115"/>
      <c r="F244" s="115"/>
      <c r="G244" s="122"/>
    </row>
    <row r="245" spans="1:7" ht="13.5" customHeight="1">
      <c r="A245" s="113" t="s">
        <v>2</v>
      </c>
      <c r="B245" s="131" t="s">
        <v>63</v>
      </c>
      <c r="C245" s="115"/>
      <c r="D245" s="115"/>
      <c r="E245" s="115"/>
      <c r="F245" s="115"/>
      <c r="G245" s="122"/>
    </row>
    <row r="246" spans="1:7" ht="13.5" customHeight="1">
      <c r="A246" s="113"/>
      <c r="B246" s="130"/>
      <c r="C246" s="115"/>
      <c r="D246" s="115"/>
      <c r="E246" s="115"/>
      <c r="F246" s="115"/>
      <c r="G246" s="122"/>
    </row>
    <row r="247" spans="1:7" ht="13.5" customHeight="1">
      <c r="A247" s="113"/>
      <c r="B247" s="130" t="s">
        <v>64</v>
      </c>
      <c r="C247" s="115"/>
      <c r="D247" s="115"/>
      <c r="E247" s="115"/>
      <c r="F247" s="115"/>
      <c r="G247" s="122"/>
    </row>
    <row r="248" spans="1:7" ht="13.5" customHeight="1">
      <c r="A248" s="113"/>
      <c r="B248" s="130" t="s">
        <v>65</v>
      </c>
      <c r="C248" s="115"/>
      <c r="D248" s="115"/>
      <c r="E248" s="115"/>
      <c r="F248" s="115"/>
      <c r="G248" s="122"/>
    </row>
    <row r="249" spans="1:7" ht="13.5" customHeight="1">
      <c r="A249" s="113"/>
      <c r="B249" s="130"/>
      <c r="C249" s="115"/>
      <c r="D249" s="115"/>
      <c r="E249" s="115"/>
      <c r="F249" s="115"/>
      <c r="G249" s="122"/>
    </row>
    <row r="250" spans="1:7" s="6" customFormat="1" ht="13.5" customHeight="1">
      <c r="A250" s="134"/>
      <c r="B250" s="130" t="s">
        <v>193</v>
      </c>
      <c r="C250" s="125"/>
      <c r="D250" s="125"/>
      <c r="E250" s="125"/>
      <c r="F250" s="125"/>
      <c r="G250" s="126"/>
    </row>
    <row r="251" spans="1:7" ht="13.5" customHeight="1">
      <c r="A251" s="113"/>
      <c r="B251" s="130" t="s">
        <v>194</v>
      </c>
      <c r="C251" s="115"/>
      <c r="D251" s="115"/>
      <c r="E251" s="115"/>
      <c r="F251" s="115"/>
      <c r="G251" s="122"/>
    </row>
    <row r="252" spans="1:7" ht="13.5" customHeight="1">
      <c r="A252" s="113"/>
      <c r="B252" s="130" t="s">
        <v>195</v>
      </c>
      <c r="C252" s="115"/>
      <c r="D252" s="115"/>
      <c r="E252" s="115"/>
      <c r="F252" s="115"/>
      <c r="G252" s="122"/>
    </row>
    <row r="253" spans="1:7" ht="13.5" customHeight="1">
      <c r="A253" s="113"/>
      <c r="B253" s="130"/>
      <c r="C253" s="115"/>
      <c r="D253" s="115"/>
      <c r="E253" s="115"/>
      <c r="F253" s="115"/>
      <c r="G253" s="122"/>
    </row>
    <row r="254" spans="1:7" ht="13.5" customHeight="1">
      <c r="A254" s="113" t="s">
        <v>66</v>
      </c>
      <c r="B254" s="135" t="s">
        <v>67</v>
      </c>
      <c r="C254" s="115"/>
      <c r="D254" s="115"/>
      <c r="E254" s="115"/>
      <c r="F254" s="115"/>
      <c r="G254" s="122"/>
    </row>
    <row r="255" spans="1:7" ht="13.5" customHeight="1">
      <c r="A255" s="113"/>
      <c r="B255" s="130"/>
      <c r="C255" s="115"/>
      <c r="D255" s="115"/>
      <c r="E255" s="115"/>
      <c r="F255" s="115"/>
      <c r="G255" s="122"/>
    </row>
    <row r="256" spans="1:7" ht="13.5" customHeight="1">
      <c r="A256" s="113" t="s">
        <v>3</v>
      </c>
      <c r="B256" s="131" t="s">
        <v>68</v>
      </c>
      <c r="C256" s="115"/>
      <c r="D256" s="115"/>
      <c r="E256" s="115"/>
      <c r="F256" s="115"/>
      <c r="G256" s="122"/>
    </row>
    <row r="257" spans="1:7" ht="13.5" customHeight="1">
      <c r="A257" s="113"/>
      <c r="B257" s="130" t="s">
        <v>196</v>
      </c>
      <c r="C257" s="115"/>
      <c r="D257" s="115"/>
      <c r="E257" s="115"/>
      <c r="F257" s="115"/>
      <c r="G257" s="122"/>
    </row>
    <row r="258" spans="1:7" ht="13.5" customHeight="1">
      <c r="A258" s="113"/>
      <c r="B258" s="130" t="s">
        <v>197</v>
      </c>
      <c r="C258" s="115"/>
      <c r="D258" s="115"/>
      <c r="E258" s="115"/>
      <c r="F258" s="115"/>
      <c r="G258" s="122"/>
    </row>
    <row r="259" spans="1:7" ht="13.5" customHeight="1">
      <c r="A259" s="113"/>
      <c r="B259" s="130" t="s">
        <v>198</v>
      </c>
      <c r="C259" s="115"/>
      <c r="D259" s="115"/>
      <c r="E259" s="115"/>
      <c r="F259" s="115"/>
      <c r="G259" s="122"/>
    </row>
    <row r="260" spans="1:7" ht="13.5" customHeight="1">
      <c r="A260" s="113"/>
      <c r="B260" s="130" t="s">
        <v>199</v>
      </c>
      <c r="C260" s="115"/>
      <c r="D260" s="115"/>
      <c r="E260" s="115"/>
      <c r="F260" s="115"/>
      <c r="G260" s="122"/>
    </row>
    <row r="261" spans="1:7" ht="13.5" customHeight="1">
      <c r="A261" s="113"/>
      <c r="B261" s="130"/>
      <c r="C261" s="115"/>
      <c r="D261" s="115"/>
      <c r="E261" s="115"/>
      <c r="F261" s="115"/>
      <c r="G261" s="122"/>
    </row>
    <row r="262" spans="1:7" ht="13.5" customHeight="1">
      <c r="A262" s="113"/>
      <c r="B262" s="130" t="s">
        <v>69</v>
      </c>
      <c r="C262" s="115"/>
      <c r="D262" s="115"/>
      <c r="E262" s="115"/>
      <c r="F262" s="115"/>
      <c r="G262" s="122"/>
    </row>
    <row r="263" spans="1:7" ht="13.5" customHeight="1">
      <c r="A263" s="113"/>
      <c r="B263" s="130" t="s">
        <v>200</v>
      </c>
      <c r="C263" s="115"/>
      <c r="D263" s="115"/>
      <c r="E263" s="115"/>
      <c r="F263" s="115"/>
      <c r="G263" s="122"/>
    </row>
    <row r="264" spans="1:7" ht="13.5" customHeight="1">
      <c r="A264" s="113"/>
      <c r="B264" s="130" t="s">
        <v>201</v>
      </c>
      <c r="C264" s="115"/>
      <c r="D264" s="115"/>
      <c r="E264" s="115"/>
      <c r="F264" s="115"/>
      <c r="G264" s="122"/>
    </row>
    <row r="265" spans="1:7" ht="13.5" customHeight="1">
      <c r="A265" s="113"/>
      <c r="B265" s="130"/>
      <c r="C265" s="115"/>
      <c r="D265" s="115"/>
      <c r="E265" s="115"/>
      <c r="F265" s="115"/>
      <c r="G265" s="122"/>
    </row>
    <row r="266" spans="1:7" ht="13.5" customHeight="1">
      <c r="A266" s="113"/>
      <c r="B266" s="130" t="s">
        <v>70</v>
      </c>
      <c r="C266" s="115"/>
      <c r="D266" s="115"/>
      <c r="E266" s="115"/>
      <c r="F266" s="115"/>
      <c r="G266" s="122"/>
    </row>
    <row r="267" spans="1:7" ht="13.5" customHeight="1">
      <c r="A267" s="113"/>
      <c r="B267" s="130" t="s">
        <v>71</v>
      </c>
      <c r="C267" s="115"/>
      <c r="D267" s="115"/>
      <c r="E267" s="115"/>
      <c r="F267" s="115"/>
      <c r="G267" s="122"/>
    </row>
    <row r="268" spans="1:7" ht="13.5" customHeight="1">
      <c r="A268" s="113"/>
      <c r="B268" s="130" t="s">
        <v>72</v>
      </c>
      <c r="C268" s="115"/>
      <c r="D268" s="115"/>
      <c r="E268" s="115"/>
      <c r="F268" s="115"/>
      <c r="G268" s="122"/>
    </row>
    <row r="269" spans="1:7" ht="13.5" customHeight="1">
      <c r="A269" s="113"/>
      <c r="B269" s="130"/>
      <c r="C269" s="115"/>
      <c r="D269" s="115"/>
      <c r="E269" s="115"/>
      <c r="F269" s="115"/>
      <c r="G269" s="122"/>
    </row>
    <row r="270" spans="1:7" ht="13.5" customHeight="1">
      <c r="A270" s="113"/>
      <c r="B270" s="130" t="s">
        <v>202</v>
      </c>
      <c r="C270" s="115"/>
      <c r="D270" s="115"/>
      <c r="E270" s="115"/>
      <c r="F270" s="115"/>
      <c r="G270" s="122"/>
    </row>
    <row r="271" spans="1:7" ht="13.5" customHeight="1">
      <c r="A271" s="113"/>
      <c r="B271" s="130" t="s">
        <v>203</v>
      </c>
      <c r="C271" s="115"/>
      <c r="D271" s="115"/>
      <c r="E271" s="115"/>
      <c r="F271" s="115"/>
      <c r="G271" s="122"/>
    </row>
    <row r="272" spans="1:7" ht="13.5" customHeight="1">
      <c r="A272" s="113"/>
      <c r="B272" s="130"/>
      <c r="C272" s="115"/>
      <c r="D272" s="115"/>
      <c r="E272" s="115"/>
      <c r="F272" s="115"/>
      <c r="G272" s="122"/>
    </row>
    <row r="273" spans="1:7" ht="13.5" customHeight="1">
      <c r="A273" s="113"/>
      <c r="B273" s="130" t="s">
        <v>204</v>
      </c>
      <c r="C273" s="115"/>
      <c r="D273" s="115"/>
      <c r="E273" s="115"/>
      <c r="F273" s="115"/>
      <c r="G273" s="122"/>
    </row>
    <row r="274" spans="1:7" ht="13.5" customHeight="1">
      <c r="A274" s="113"/>
      <c r="B274" s="130" t="s">
        <v>205</v>
      </c>
      <c r="C274" s="115"/>
      <c r="D274" s="115"/>
      <c r="E274" s="115"/>
      <c r="F274" s="115"/>
      <c r="G274" s="122"/>
    </row>
    <row r="275" spans="1:7" ht="13.5" customHeight="1">
      <c r="A275" s="113"/>
      <c r="B275" s="130"/>
      <c r="C275" s="115"/>
      <c r="D275" s="115"/>
      <c r="E275" s="115"/>
      <c r="F275" s="115"/>
      <c r="G275" s="122"/>
    </row>
    <row r="276" spans="1:7" ht="13.5" customHeight="1">
      <c r="A276" s="113" t="s">
        <v>4</v>
      </c>
      <c r="B276" s="131" t="s">
        <v>73</v>
      </c>
      <c r="C276" s="115"/>
      <c r="D276" s="115"/>
      <c r="E276" s="115"/>
      <c r="F276" s="115"/>
      <c r="G276" s="122"/>
    </row>
    <row r="277" spans="1:7" ht="13.5" customHeight="1">
      <c r="A277" s="113"/>
      <c r="B277" s="130"/>
      <c r="C277" s="115"/>
      <c r="D277" s="115"/>
      <c r="E277" s="115"/>
      <c r="F277" s="115"/>
      <c r="G277" s="122"/>
    </row>
    <row r="278" spans="1:7" ht="13.5" customHeight="1">
      <c r="A278" s="113"/>
      <c r="B278" s="130" t="s">
        <v>206</v>
      </c>
      <c r="C278" s="115"/>
      <c r="D278" s="115"/>
      <c r="E278" s="115"/>
      <c r="F278" s="115"/>
      <c r="G278" s="122"/>
    </row>
    <row r="279" spans="1:7" ht="13.5" customHeight="1">
      <c r="A279" s="113"/>
      <c r="B279" s="130" t="s">
        <v>207</v>
      </c>
      <c r="C279" s="115"/>
      <c r="D279" s="115"/>
      <c r="E279" s="115"/>
      <c r="F279" s="115"/>
      <c r="G279" s="122"/>
    </row>
    <row r="280" spans="1:7" ht="13.5" customHeight="1">
      <c r="A280" s="113"/>
      <c r="B280" s="130" t="s">
        <v>208</v>
      </c>
      <c r="C280" s="115"/>
      <c r="D280" s="115"/>
      <c r="E280" s="115"/>
      <c r="F280" s="115"/>
      <c r="G280" s="122"/>
    </row>
    <row r="281" spans="1:7" ht="13.5" customHeight="1">
      <c r="A281" s="113"/>
      <c r="B281" s="130"/>
      <c r="C281" s="115"/>
      <c r="D281" s="115"/>
      <c r="E281" s="115"/>
      <c r="F281" s="115"/>
      <c r="G281" s="122"/>
    </row>
    <row r="282" spans="1:7" ht="13.5" customHeight="1">
      <c r="A282" s="113" t="s">
        <v>5</v>
      </c>
      <c r="B282" s="131" t="s">
        <v>74</v>
      </c>
      <c r="C282" s="115"/>
      <c r="D282" s="115"/>
      <c r="E282" s="115"/>
      <c r="F282" s="115"/>
      <c r="G282" s="122"/>
    </row>
    <row r="283" spans="1:7" ht="13.5" customHeight="1">
      <c r="A283" s="113"/>
      <c r="B283" s="130"/>
      <c r="C283" s="115"/>
      <c r="D283" s="115"/>
      <c r="E283" s="115"/>
      <c r="F283" s="115"/>
      <c r="G283" s="122"/>
    </row>
    <row r="284" spans="1:7" ht="13.5" customHeight="1">
      <c r="A284" s="113"/>
      <c r="B284" s="130" t="s">
        <v>75</v>
      </c>
      <c r="C284" s="115"/>
      <c r="D284" s="115"/>
      <c r="E284" s="115"/>
      <c r="F284" s="115"/>
      <c r="G284" s="122"/>
    </row>
    <row r="285" spans="1:7" ht="13.5" customHeight="1">
      <c r="A285" s="113"/>
      <c r="B285" s="130" t="s">
        <v>76</v>
      </c>
      <c r="C285" s="115"/>
      <c r="D285" s="115"/>
      <c r="E285" s="115"/>
      <c r="F285" s="115"/>
      <c r="G285" s="122"/>
    </row>
    <row r="286" spans="1:7" ht="13.5" customHeight="1">
      <c r="A286" s="113"/>
      <c r="B286" s="130"/>
      <c r="C286" s="115"/>
      <c r="D286" s="115"/>
      <c r="E286" s="115"/>
      <c r="F286" s="115"/>
      <c r="G286" s="122"/>
    </row>
    <row r="287" spans="1:7" ht="13.5" customHeight="1">
      <c r="A287" s="113"/>
      <c r="B287" s="130" t="s">
        <v>209</v>
      </c>
      <c r="C287" s="115"/>
      <c r="D287" s="115"/>
      <c r="E287" s="115"/>
      <c r="F287" s="115"/>
      <c r="G287" s="122"/>
    </row>
    <row r="288" spans="1:7" ht="13.5" customHeight="1">
      <c r="A288" s="113" t="s">
        <v>77</v>
      </c>
      <c r="B288" s="130" t="s">
        <v>210</v>
      </c>
      <c r="C288" s="115"/>
      <c r="D288" s="115"/>
      <c r="E288" s="115"/>
      <c r="F288" s="115"/>
      <c r="G288" s="122"/>
    </row>
    <row r="289" spans="1:7" ht="13.5" customHeight="1">
      <c r="A289" s="113"/>
      <c r="B289" s="130"/>
      <c r="C289" s="115"/>
      <c r="D289" s="115"/>
      <c r="E289" s="115"/>
      <c r="F289" s="115"/>
      <c r="G289" s="122"/>
    </row>
    <row r="290" spans="1:7" ht="13.5" customHeight="1">
      <c r="A290" s="113" t="s">
        <v>6</v>
      </c>
      <c r="B290" s="131" t="s">
        <v>78</v>
      </c>
      <c r="C290" s="115"/>
      <c r="D290" s="115"/>
      <c r="E290" s="115"/>
      <c r="F290" s="115"/>
      <c r="G290" s="122"/>
    </row>
    <row r="291" spans="1:7" ht="13.5" customHeight="1">
      <c r="A291" s="113"/>
      <c r="B291" s="130"/>
      <c r="C291" s="115"/>
      <c r="D291" s="115"/>
      <c r="E291" s="115"/>
      <c r="F291" s="115"/>
      <c r="G291" s="122"/>
    </row>
    <row r="292" spans="1:7" ht="13.5" customHeight="1">
      <c r="A292" s="113"/>
      <c r="B292" s="130" t="s">
        <v>211</v>
      </c>
      <c r="C292" s="115"/>
      <c r="D292" s="115"/>
      <c r="E292" s="115"/>
      <c r="F292" s="115"/>
      <c r="G292" s="122"/>
    </row>
    <row r="293" spans="1:7" ht="13.5" customHeight="1">
      <c r="A293" s="113"/>
      <c r="B293" s="130" t="s">
        <v>212</v>
      </c>
      <c r="C293" s="115"/>
      <c r="D293" s="115"/>
      <c r="E293" s="115"/>
      <c r="F293" s="115"/>
      <c r="G293" s="122"/>
    </row>
    <row r="294" spans="1:7" ht="13.5" customHeight="1">
      <c r="A294" s="113"/>
      <c r="B294" s="130" t="s">
        <v>213</v>
      </c>
      <c r="C294" s="115"/>
      <c r="D294" s="115"/>
      <c r="E294" s="115"/>
      <c r="F294" s="115"/>
      <c r="G294" s="122"/>
    </row>
    <row r="295" spans="1:7" ht="13.5" customHeight="1">
      <c r="A295" s="113"/>
      <c r="B295" s="130" t="s">
        <v>214</v>
      </c>
      <c r="C295" s="115"/>
      <c r="D295" s="115"/>
      <c r="E295" s="115"/>
      <c r="F295" s="115"/>
      <c r="G295" s="122"/>
    </row>
    <row r="296" spans="1:7" ht="13.5" customHeight="1">
      <c r="A296" s="113"/>
      <c r="B296" s="130" t="s">
        <v>215</v>
      </c>
      <c r="C296" s="115"/>
      <c r="D296" s="115"/>
      <c r="E296" s="115"/>
      <c r="F296" s="115"/>
      <c r="G296" s="122"/>
    </row>
    <row r="297" spans="1:7" ht="13.5" customHeight="1">
      <c r="A297" s="113"/>
      <c r="B297" s="130"/>
      <c r="C297" s="115"/>
      <c r="D297" s="115"/>
      <c r="E297" s="115"/>
      <c r="F297" s="115"/>
      <c r="G297" s="122"/>
    </row>
    <row r="298" spans="1:7" ht="13.5" customHeight="1">
      <c r="A298" s="113"/>
      <c r="B298" s="132" t="s">
        <v>25</v>
      </c>
      <c r="C298" s="115"/>
      <c r="D298" s="115"/>
      <c r="E298" s="115"/>
      <c r="F298" s="115"/>
      <c r="G298" s="122"/>
    </row>
    <row r="299" spans="1:7" ht="13.5" customHeight="1">
      <c r="A299" s="113"/>
      <c r="B299" s="130"/>
      <c r="C299" s="115"/>
      <c r="D299" s="115"/>
      <c r="E299" s="115"/>
      <c r="F299" s="115"/>
      <c r="G299" s="133"/>
    </row>
    <row r="300" spans="1:7" ht="13.5" customHeight="1">
      <c r="A300" s="113"/>
      <c r="B300" s="114"/>
      <c r="C300" s="115"/>
      <c r="D300" s="115"/>
      <c r="E300" s="115"/>
      <c r="F300" s="115"/>
      <c r="G300" s="122"/>
    </row>
    <row r="301" spans="1:7" s="5" customFormat="1" ht="13.5" customHeight="1">
      <c r="A301" s="113" t="s">
        <v>2</v>
      </c>
      <c r="B301" s="131" t="s">
        <v>79</v>
      </c>
      <c r="C301" s="132"/>
      <c r="D301" s="132"/>
      <c r="E301" s="132"/>
      <c r="F301" s="132"/>
      <c r="G301" s="136"/>
    </row>
    <row r="302" spans="1:7" ht="13.5" customHeight="1">
      <c r="A302" s="113"/>
      <c r="B302" s="130"/>
      <c r="C302" s="115"/>
      <c r="D302" s="115"/>
      <c r="E302" s="115"/>
      <c r="F302" s="115"/>
      <c r="G302" s="122"/>
    </row>
    <row r="303" spans="1:7" ht="13.5" customHeight="1">
      <c r="A303" s="113"/>
      <c r="B303" s="130" t="s">
        <v>80</v>
      </c>
      <c r="C303" s="115"/>
      <c r="D303" s="115"/>
      <c r="E303" s="115"/>
      <c r="F303" s="115"/>
      <c r="G303" s="122"/>
    </row>
    <row r="304" spans="1:7" ht="13.5" customHeight="1">
      <c r="A304" s="113"/>
      <c r="B304" s="130" t="s">
        <v>273</v>
      </c>
      <c r="C304" s="115"/>
      <c r="D304" s="115"/>
      <c r="E304" s="115"/>
      <c r="F304" s="115"/>
      <c r="G304" s="122"/>
    </row>
    <row r="305" spans="1:7" ht="13.5" customHeight="1">
      <c r="A305" s="113"/>
      <c r="B305" s="130" t="s">
        <v>81</v>
      </c>
      <c r="C305" s="115"/>
      <c r="D305" s="115"/>
      <c r="E305" s="115"/>
      <c r="F305" s="115"/>
      <c r="G305" s="122"/>
    </row>
    <row r="306" spans="1:7" ht="13.5" customHeight="1">
      <c r="A306" s="113"/>
      <c r="B306" s="130" t="s">
        <v>82</v>
      </c>
      <c r="C306" s="115"/>
      <c r="D306" s="115"/>
      <c r="E306" s="115"/>
      <c r="F306" s="115"/>
      <c r="G306" s="122"/>
    </row>
    <row r="307" spans="1:7" ht="13.5" customHeight="1">
      <c r="A307" s="113"/>
      <c r="B307" s="130"/>
      <c r="C307" s="115"/>
      <c r="D307" s="115"/>
      <c r="E307" s="115"/>
      <c r="F307" s="115"/>
      <c r="G307" s="122"/>
    </row>
    <row r="308" spans="1:7" ht="13.5" customHeight="1">
      <c r="A308" s="113" t="s">
        <v>83</v>
      </c>
      <c r="B308" s="135" t="s">
        <v>84</v>
      </c>
      <c r="C308" s="115"/>
      <c r="D308" s="115"/>
      <c r="E308" s="115"/>
      <c r="F308" s="115"/>
      <c r="G308" s="122"/>
    </row>
    <row r="309" spans="1:7" ht="13.5" customHeight="1">
      <c r="A309" s="113"/>
      <c r="B309" s="130"/>
      <c r="C309" s="115"/>
      <c r="D309" s="115"/>
      <c r="E309" s="115"/>
      <c r="F309" s="115"/>
      <c r="G309" s="122"/>
    </row>
    <row r="310" spans="1:7" ht="13.5" customHeight="1">
      <c r="A310" s="113" t="s">
        <v>3</v>
      </c>
      <c r="B310" s="131" t="s">
        <v>85</v>
      </c>
      <c r="C310" s="115"/>
      <c r="D310" s="115"/>
      <c r="E310" s="115"/>
      <c r="F310" s="115"/>
      <c r="G310" s="122"/>
    </row>
    <row r="311" spans="1:7" ht="13.5" customHeight="1">
      <c r="A311" s="113"/>
      <c r="B311" s="130"/>
      <c r="C311" s="115"/>
      <c r="D311" s="115"/>
      <c r="E311" s="115"/>
      <c r="F311" s="115"/>
      <c r="G311" s="122"/>
    </row>
    <row r="312" spans="1:7" ht="13.5" customHeight="1">
      <c r="A312" s="113"/>
      <c r="B312" s="130" t="s">
        <v>216</v>
      </c>
      <c r="C312" s="115"/>
      <c r="D312" s="115"/>
      <c r="E312" s="115"/>
      <c r="F312" s="115"/>
      <c r="G312" s="122"/>
    </row>
    <row r="313" spans="1:7" ht="13.5" customHeight="1">
      <c r="A313" s="113"/>
      <c r="B313" s="130" t="s">
        <v>217</v>
      </c>
      <c r="C313" s="115"/>
      <c r="D313" s="115"/>
      <c r="E313" s="115"/>
      <c r="F313" s="115"/>
      <c r="G313" s="122"/>
    </row>
    <row r="314" spans="1:7" ht="13.5" customHeight="1">
      <c r="A314" s="113"/>
      <c r="B314" s="130" t="s">
        <v>218</v>
      </c>
      <c r="C314" s="115"/>
      <c r="D314" s="115"/>
      <c r="E314" s="115"/>
      <c r="F314" s="115"/>
      <c r="G314" s="122"/>
    </row>
    <row r="315" spans="1:7" ht="13.5" customHeight="1">
      <c r="A315" s="113"/>
      <c r="B315" s="130" t="s">
        <v>219</v>
      </c>
      <c r="C315" s="115"/>
      <c r="D315" s="115"/>
      <c r="E315" s="115"/>
      <c r="F315" s="115"/>
      <c r="G315" s="122"/>
    </row>
    <row r="316" spans="1:7" ht="13.5" customHeight="1">
      <c r="A316" s="113"/>
      <c r="B316" s="130" t="s">
        <v>220</v>
      </c>
      <c r="C316" s="115"/>
      <c r="D316" s="115"/>
      <c r="E316" s="115"/>
      <c r="F316" s="115"/>
      <c r="G316" s="122"/>
    </row>
    <row r="317" spans="1:7" ht="13.5" customHeight="1">
      <c r="A317" s="113"/>
      <c r="B317" s="130" t="s">
        <v>221</v>
      </c>
      <c r="C317" s="115"/>
      <c r="D317" s="115"/>
      <c r="E317" s="115"/>
      <c r="F317" s="115"/>
      <c r="G317" s="122"/>
    </row>
    <row r="318" spans="1:7" ht="13.5" customHeight="1">
      <c r="A318" s="113"/>
      <c r="B318" s="130" t="s">
        <v>222</v>
      </c>
      <c r="C318" s="115"/>
      <c r="D318" s="115"/>
      <c r="E318" s="115"/>
      <c r="F318" s="115"/>
      <c r="G318" s="122"/>
    </row>
    <row r="319" spans="1:7" ht="13.5" customHeight="1">
      <c r="A319" s="113"/>
      <c r="B319" s="130" t="s">
        <v>223</v>
      </c>
      <c r="C319" s="115"/>
      <c r="D319" s="115"/>
      <c r="E319" s="115"/>
      <c r="F319" s="115"/>
      <c r="G319" s="122"/>
    </row>
    <row r="320" spans="1:7" ht="13.5" customHeight="1">
      <c r="A320" s="113"/>
      <c r="B320" s="130" t="s">
        <v>224</v>
      </c>
      <c r="C320" s="115"/>
      <c r="D320" s="115"/>
      <c r="E320" s="115"/>
      <c r="F320" s="115"/>
      <c r="G320" s="122"/>
    </row>
    <row r="321" spans="1:7" ht="13.5" customHeight="1">
      <c r="A321" s="113"/>
      <c r="B321" s="130"/>
      <c r="C321" s="115"/>
      <c r="D321" s="115"/>
      <c r="E321" s="115"/>
      <c r="F321" s="115"/>
      <c r="G321" s="122"/>
    </row>
    <row r="322" spans="1:7" ht="13.5" customHeight="1">
      <c r="A322" s="113" t="s">
        <v>4</v>
      </c>
      <c r="B322" s="131" t="s">
        <v>86</v>
      </c>
      <c r="C322" s="115"/>
      <c r="D322" s="115"/>
      <c r="E322" s="115"/>
      <c r="F322" s="115"/>
      <c r="G322" s="122"/>
    </row>
    <row r="323" spans="1:7" ht="13.5" customHeight="1">
      <c r="A323" s="113"/>
      <c r="B323" s="130"/>
      <c r="C323" s="115"/>
      <c r="D323" s="115"/>
      <c r="E323" s="115"/>
      <c r="F323" s="115"/>
      <c r="G323" s="122"/>
    </row>
    <row r="324" spans="1:7" ht="13.5" customHeight="1">
      <c r="A324" s="113"/>
      <c r="B324" s="130" t="s">
        <v>225</v>
      </c>
      <c r="C324" s="115"/>
      <c r="D324" s="115"/>
      <c r="E324" s="115"/>
      <c r="F324" s="115"/>
      <c r="G324" s="122"/>
    </row>
    <row r="325" spans="1:7" ht="13.5" customHeight="1">
      <c r="A325" s="113"/>
      <c r="B325" s="130" t="s">
        <v>226</v>
      </c>
      <c r="C325" s="115"/>
      <c r="D325" s="115"/>
      <c r="E325" s="115"/>
      <c r="F325" s="115"/>
      <c r="G325" s="122"/>
    </row>
    <row r="326" spans="1:7" ht="13.5" customHeight="1">
      <c r="A326" s="113"/>
      <c r="B326" s="130" t="s">
        <v>227</v>
      </c>
      <c r="C326" s="115"/>
      <c r="D326" s="115"/>
      <c r="E326" s="115"/>
      <c r="F326" s="115"/>
      <c r="G326" s="122"/>
    </row>
    <row r="327" spans="1:7" ht="13.5" customHeight="1">
      <c r="A327" s="113"/>
      <c r="B327" s="130"/>
      <c r="C327" s="115"/>
      <c r="D327" s="115"/>
      <c r="E327" s="115"/>
      <c r="F327" s="115"/>
      <c r="G327" s="122"/>
    </row>
    <row r="328" spans="1:7" ht="13.5" customHeight="1">
      <c r="A328" s="113" t="s">
        <v>5</v>
      </c>
      <c r="B328" s="131" t="s">
        <v>87</v>
      </c>
      <c r="C328" s="115"/>
      <c r="D328" s="115"/>
      <c r="E328" s="115"/>
      <c r="F328" s="115"/>
      <c r="G328" s="122"/>
    </row>
    <row r="329" spans="1:7" ht="13.5" customHeight="1">
      <c r="A329" s="113"/>
      <c r="B329" s="130"/>
      <c r="C329" s="115"/>
      <c r="D329" s="115"/>
      <c r="E329" s="115"/>
      <c r="F329" s="115"/>
      <c r="G329" s="122"/>
    </row>
    <row r="330" spans="1:7" ht="13.5" customHeight="1">
      <c r="A330" s="113"/>
      <c r="B330" s="130" t="s">
        <v>88</v>
      </c>
      <c r="C330" s="115"/>
      <c r="D330" s="115"/>
      <c r="E330" s="115"/>
      <c r="F330" s="115"/>
      <c r="G330" s="122"/>
    </row>
    <row r="331" spans="1:7" ht="13.5" customHeight="1">
      <c r="A331" s="113"/>
      <c r="B331" s="130" t="s">
        <v>89</v>
      </c>
      <c r="C331" s="115"/>
      <c r="D331" s="115"/>
      <c r="E331" s="115"/>
      <c r="F331" s="115"/>
      <c r="G331" s="122"/>
    </row>
    <row r="332" spans="1:7" ht="13.5" customHeight="1">
      <c r="A332" s="113"/>
      <c r="B332" s="130" t="s">
        <v>228</v>
      </c>
      <c r="C332" s="115"/>
      <c r="D332" s="115"/>
      <c r="E332" s="115"/>
      <c r="F332" s="115"/>
      <c r="G332" s="122"/>
    </row>
    <row r="333" spans="1:7" ht="13.5" customHeight="1">
      <c r="A333" s="113"/>
      <c r="B333" s="130" t="s">
        <v>229</v>
      </c>
      <c r="C333" s="115"/>
      <c r="D333" s="115"/>
      <c r="E333" s="115"/>
      <c r="F333" s="115"/>
      <c r="G333" s="122"/>
    </row>
    <row r="334" spans="1:7" ht="13.5" customHeight="1">
      <c r="A334" s="113"/>
      <c r="B334" s="130"/>
      <c r="C334" s="115"/>
      <c r="D334" s="115"/>
      <c r="E334" s="115"/>
      <c r="F334" s="115"/>
      <c r="G334" s="122"/>
    </row>
    <row r="335" spans="1:7" ht="13.5" customHeight="1">
      <c r="A335" s="113" t="s">
        <v>6</v>
      </c>
      <c r="B335" s="131" t="s">
        <v>90</v>
      </c>
      <c r="C335" s="115"/>
      <c r="D335" s="115"/>
      <c r="E335" s="115"/>
      <c r="F335" s="115"/>
      <c r="G335" s="122"/>
    </row>
    <row r="336" spans="1:7" ht="13.5" customHeight="1">
      <c r="A336" s="113"/>
      <c r="B336" s="130"/>
      <c r="C336" s="115"/>
      <c r="D336" s="115"/>
      <c r="E336" s="115"/>
      <c r="F336" s="115"/>
      <c r="G336" s="122"/>
    </row>
    <row r="337" spans="1:7" ht="13.5" customHeight="1">
      <c r="A337" s="113"/>
      <c r="B337" s="130" t="s">
        <v>230</v>
      </c>
      <c r="C337" s="115"/>
      <c r="D337" s="115"/>
      <c r="E337" s="115"/>
      <c r="F337" s="115"/>
      <c r="G337" s="122"/>
    </row>
    <row r="338" spans="1:7" ht="13.5" customHeight="1">
      <c r="A338" s="113"/>
      <c r="B338" s="130" t="s">
        <v>231</v>
      </c>
      <c r="C338" s="115"/>
      <c r="D338" s="115"/>
      <c r="E338" s="115"/>
      <c r="F338" s="115"/>
      <c r="G338" s="122"/>
    </row>
    <row r="339" spans="1:7" ht="13.5" customHeight="1">
      <c r="A339" s="113"/>
      <c r="B339" s="130" t="s">
        <v>232</v>
      </c>
      <c r="C339" s="115"/>
      <c r="D339" s="115"/>
      <c r="E339" s="115"/>
      <c r="F339" s="115"/>
      <c r="G339" s="122"/>
    </row>
    <row r="340" spans="1:7" ht="13.5" customHeight="1">
      <c r="A340" s="113"/>
      <c r="B340" s="130"/>
      <c r="C340" s="115"/>
      <c r="D340" s="115"/>
      <c r="E340" s="115"/>
      <c r="F340" s="115"/>
      <c r="G340" s="122"/>
    </row>
    <row r="341" spans="1:7" ht="13.5" customHeight="1">
      <c r="A341" s="113"/>
      <c r="B341" s="130"/>
      <c r="C341" s="115"/>
      <c r="D341" s="115"/>
      <c r="E341" s="115"/>
      <c r="F341" s="115"/>
      <c r="G341" s="122"/>
    </row>
    <row r="342" spans="1:7" ht="13.5" customHeight="1">
      <c r="A342" s="113"/>
      <c r="B342" s="130" t="s">
        <v>233</v>
      </c>
      <c r="C342" s="115"/>
      <c r="D342" s="115"/>
      <c r="E342" s="115"/>
      <c r="F342" s="115"/>
      <c r="G342" s="122"/>
    </row>
    <row r="343" spans="1:7" ht="13.5" customHeight="1">
      <c r="A343" s="113"/>
      <c r="B343" s="130" t="s">
        <v>234</v>
      </c>
      <c r="C343" s="115"/>
      <c r="D343" s="115"/>
      <c r="E343" s="115"/>
      <c r="F343" s="115"/>
      <c r="G343" s="122"/>
    </row>
    <row r="344" spans="1:7" ht="13.5" customHeight="1">
      <c r="A344" s="113"/>
      <c r="B344" s="130" t="s">
        <v>235</v>
      </c>
      <c r="C344" s="115"/>
      <c r="D344" s="115"/>
      <c r="E344" s="115"/>
      <c r="F344" s="115"/>
      <c r="G344" s="122"/>
    </row>
    <row r="345" spans="1:7" ht="13.5" customHeight="1">
      <c r="A345" s="113"/>
      <c r="B345" s="130" t="s">
        <v>236</v>
      </c>
      <c r="C345" s="115"/>
      <c r="D345" s="115"/>
      <c r="E345" s="115"/>
      <c r="F345" s="115"/>
      <c r="G345" s="122"/>
    </row>
    <row r="346" spans="1:7" ht="13.5" customHeight="1">
      <c r="A346" s="113"/>
      <c r="B346" s="130"/>
      <c r="C346" s="115"/>
      <c r="D346" s="115"/>
      <c r="E346" s="115"/>
      <c r="F346" s="115"/>
      <c r="G346" s="122"/>
    </row>
    <row r="347" spans="1:7" ht="13.5" customHeight="1">
      <c r="A347" s="113"/>
      <c r="B347" s="130" t="s">
        <v>91</v>
      </c>
      <c r="C347" s="115"/>
      <c r="D347" s="115"/>
      <c r="E347" s="115"/>
      <c r="F347" s="115"/>
      <c r="G347" s="122"/>
    </row>
    <row r="348" spans="1:7" ht="13.5" customHeight="1">
      <c r="A348" s="113"/>
      <c r="B348" s="130" t="s">
        <v>92</v>
      </c>
      <c r="C348" s="115"/>
      <c r="D348" s="115"/>
      <c r="E348" s="115"/>
      <c r="F348" s="115"/>
      <c r="G348" s="122"/>
    </row>
    <row r="349" spans="1:7" ht="13.5" customHeight="1">
      <c r="A349" s="113"/>
      <c r="B349" s="130"/>
      <c r="C349" s="115"/>
      <c r="D349" s="115"/>
      <c r="E349" s="115"/>
      <c r="F349" s="115"/>
      <c r="G349" s="122"/>
    </row>
    <row r="350" spans="1:7" ht="13.5" customHeight="1">
      <c r="A350" s="113"/>
      <c r="B350" s="130" t="s">
        <v>93</v>
      </c>
      <c r="C350" s="115"/>
      <c r="D350" s="115"/>
      <c r="E350" s="115"/>
      <c r="F350" s="115"/>
      <c r="G350" s="122"/>
    </row>
    <row r="351" spans="1:7" ht="13.5" customHeight="1">
      <c r="A351" s="113"/>
      <c r="B351" s="130" t="s">
        <v>238</v>
      </c>
      <c r="C351" s="115"/>
      <c r="D351" s="115"/>
      <c r="E351" s="115"/>
      <c r="F351" s="115"/>
      <c r="G351" s="122"/>
    </row>
    <row r="352" spans="1:7" ht="13.5" customHeight="1">
      <c r="A352" s="113"/>
      <c r="B352" s="130" t="s">
        <v>237</v>
      </c>
      <c r="C352" s="115"/>
      <c r="D352" s="115"/>
      <c r="E352" s="115"/>
      <c r="F352" s="115"/>
      <c r="G352" s="122"/>
    </row>
    <row r="353" spans="1:7" ht="13.5" customHeight="1">
      <c r="A353" s="113"/>
      <c r="B353" s="130"/>
      <c r="C353" s="115"/>
      <c r="D353" s="115"/>
      <c r="E353" s="115"/>
      <c r="F353" s="115"/>
      <c r="G353" s="122"/>
    </row>
    <row r="354" spans="1:7" ht="13.5" customHeight="1">
      <c r="A354" s="113"/>
      <c r="B354" s="130" t="s">
        <v>94</v>
      </c>
      <c r="C354" s="115"/>
      <c r="D354" s="115"/>
      <c r="E354" s="115"/>
      <c r="F354" s="115"/>
      <c r="G354" s="122"/>
    </row>
    <row r="355" spans="1:7" ht="13.5" customHeight="1">
      <c r="A355" s="113"/>
      <c r="B355" s="130" t="s">
        <v>95</v>
      </c>
      <c r="C355" s="115"/>
      <c r="D355" s="115"/>
      <c r="E355" s="115"/>
      <c r="F355" s="115"/>
      <c r="G355" s="122"/>
    </row>
    <row r="356" spans="1:7" ht="13.5" customHeight="1">
      <c r="A356" s="113"/>
      <c r="B356" s="130"/>
      <c r="C356" s="115"/>
      <c r="D356" s="115"/>
      <c r="E356" s="115"/>
      <c r="F356" s="115"/>
      <c r="G356" s="122"/>
    </row>
    <row r="357" spans="1:7" ht="13.5" customHeight="1">
      <c r="A357" s="113"/>
      <c r="B357" s="132" t="s">
        <v>25</v>
      </c>
      <c r="C357" s="115"/>
      <c r="D357" s="115"/>
      <c r="E357" s="115"/>
      <c r="F357" s="115"/>
      <c r="G357" s="122"/>
    </row>
    <row r="358" spans="1:7" ht="13.5" customHeight="1">
      <c r="A358" s="113"/>
      <c r="B358" s="130"/>
      <c r="C358" s="115"/>
      <c r="D358" s="115"/>
      <c r="E358" s="115"/>
      <c r="F358" s="115"/>
      <c r="G358" s="122"/>
    </row>
    <row r="359" spans="1:7" ht="13.5" customHeight="1">
      <c r="A359" s="113"/>
      <c r="B359" s="137"/>
      <c r="C359" s="115"/>
      <c r="D359" s="115"/>
      <c r="E359" s="115"/>
      <c r="F359" s="115"/>
      <c r="G359" s="122"/>
    </row>
    <row r="360" spans="1:7" ht="13.5" customHeight="1">
      <c r="A360" s="113" t="s">
        <v>2</v>
      </c>
      <c r="B360" s="131" t="s">
        <v>96</v>
      </c>
      <c r="C360" s="115"/>
      <c r="D360" s="115"/>
      <c r="E360" s="115"/>
      <c r="F360" s="115"/>
      <c r="G360" s="122"/>
    </row>
    <row r="361" spans="1:7" ht="13.5" customHeight="1">
      <c r="A361" s="113"/>
      <c r="B361" s="130"/>
      <c r="C361" s="115"/>
      <c r="D361" s="115"/>
      <c r="E361" s="115"/>
      <c r="F361" s="115"/>
      <c r="G361" s="122"/>
    </row>
    <row r="362" spans="1:7" ht="13.5" customHeight="1">
      <c r="A362" s="113"/>
      <c r="B362" s="130" t="s">
        <v>239</v>
      </c>
      <c r="C362" s="115"/>
      <c r="D362" s="115"/>
      <c r="E362" s="115"/>
      <c r="F362" s="115"/>
      <c r="G362" s="122"/>
    </row>
    <row r="363" spans="1:7" ht="13.5" customHeight="1">
      <c r="A363" s="113"/>
      <c r="B363" s="130" t="s">
        <v>240</v>
      </c>
      <c r="C363" s="115"/>
      <c r="D363" s="115"/>
      <c r="E363" s="115"/>
      <c r="F363" s="115"/>
      <c r="G363" s="122"/>
    </row>
    <row r="364" spans="1:7" ht="13.5" customHeight="1">
      <c r="A364" s="113"/>
      <c r="B364" s="130" t="s">
        <v>241</v>
      </c>
      <c r="C364" s="115"/>
      <c r="D364" s="115"/>
      <c r="E364" s="115"/>
      <c r="F364" s="115"/>
      <c r="G364" s="122"/>
    </row>
    <row r="365" spans="1:7" ht="13.5" customHeight="1">
      <c r="A365" s="113"/>
      <c r="B365" s="130"/>
      <c r="C365" s="115"/>
      <c r="D365" s="115"/>
      <c r="E365" s="115"/>
      <c r="F365" s="115"/>
      <c r="G365" s="122"/>
    </row>
    <row r="366" spans="1:7" ht="13.5" customHeight="1">
      <c r="A366" s="113"/>
      <c r="B366" s="130" t="s">
        <v>97</v>
      </c>
      <c r="C366" s="115"/>
      <c r="D366" s="115"/>
      <c r="E366" s="115"/>
      <c r="F366" s="115"/>
      <c r="G366" s="122"/>
    </row>
    <row r="367" spans="1:7" ht="13.5" customHeight="1">
      <c r="A367" s="113"/>
      <c r="B367" s="130" t="s">
        <v>243</v>
      </c>
      <c r="C367" s="115"/>
      <c r="D367" s="115"/>
      <c r="E367" s="115"/>
      <c r="F367" s="115"/>
      <c r="G367" s="122"/>
    </row>
    <row r="368" spans="1:7" ht="13.5" customHeight="1">
      <c r="A368" s="113"/>
      <c r="B368" s="130" t="s">
        <v>242</v>
      </c>
      <c r="C368" s="115"/>
      <c r="D368" s="115"/>
      <c r="E368" s="115"/>
      <c r="F368" s="115"/>
      <c r="G368" s="122"/>
    </row>
    <row r="369" spans="1:7" ht="13.5" customHeight="1">
      <c r="A369" s="113"/>
      <c r="B369" s="130"/>
      <c r="C369" s="115"/>
      <c r="D369" s="115"/>
      <c r="E369" s="115"/>
      <c r="F369" s="115"/>
      <c r="G369" s="122"/>
    </row>
    <row r="370" spans="1:7" ht="13.5" customHeight="1">
      <c r="A370" s="113"/>
      <c r="B370" s="130" t="s">
        <v>274</v>
      </c>
      <c r="C370" s="115"/>
      <c r="D370" s="115"/>
      <c r="E370" s="115"/>
      <c r="F370" s="115"/>
      <c r="G370" s="122"/>
    </row>
    <row r="371" spans="1:7" ht="13.5" customHeight="1">
      <c r="A371" s="113"/>
      <c r="B371" s="130" t="s">
        <v>244</v>
      </c>
      <c r="C371" s="115"/>
      <c r="D371" s="115"/>
      <c r="E371" s="115"/>
      <c r="F371" s="115"/>
      <c r="G371" s="122"/>
    </row>
    <row r="372" spans="1:7" ht="13.5" customHeight="1">
      <c r="A372" s="113"/>
      <c r="B372" s="130" t="s">
        <v>245</v>
      </c>
      <c r="C372" s="115"/>
      <c r="D372" s="115"/>
      <c r="E372" s="115"/>
      <c r="F372" s="115"/>
      <c r="G372" s="122"/>
    </row>
    <row r="373" spans="1:7" ht="13.5" customHeight="1">
      <c r="A373" s="113"/>
      <c r="B373" s="130"/>
      <c r="C373" s="115"/>
      <c r="D373" s="115"/>
      <c r="E373" s="115"/>
      <c r="F373" s="115"/>
      <c r="G373" s="122"/>
    </row>
    <row r="374" spans="1:7" ht="13.5" customHeight="1">
      <c r="A374" s="113" t="s">
        <v>3</v>
      </c>
      <c r="B374" s="131" t="s">
        <v>98</v>
      </c>
      <c r="C374" s="115"/>
      <c r="D374" s="115"/>
      <c r="E374" s="115"/>
      <c r="F374" s="115"/>
      <c r="G374" s="122"/>
    </row>
    <row r="375" spans="1:7" ht="13.5" customHeight="1">
      <c r="A375" s="113"/>
      <c r="B375" s="137"/>
      <c r="C375" s="115"/>
      <c r="D375" s="115"/>
      <c r="E375" s="115"/>
      <c r="F375" s="115"/>
      <c r="G375" s="122"/>
    </row>
    <row r="376" spans="1:7" ht="13.5" customHeight="1">
      <c r="A376" s="113"/>
      <c r="B376" s="130" t="s">
        <v>99</v>
      </c>
      <c r="C376" s="115"/>
      <c r="D376" s="115"/>
      <c r="E376" s="115"/>
      <c r="F376" s="115"/>
      <c r="G376" s="122"/>
    </row>
    <row r="377" spans="1:7" ht="13.5" customHeight="1">
      <c r="A377" s="113"/>
      <c r="B377" s="130" t="s">
        <v>100</v>
      </c>
      <c r="C377" s="115"/>
      <c r="D377" s="115"/>
      <c r="E377" s="115"/>
      <c r="F377" s="115"/>
      <c r="G377" s="122"/>
    </row>
    <row r="378" spans="1:7" ht="13.5" customHeight="1">
      <c r="A378" s="113"/>
      <c r="B378" s="130" t="s">
        <v>101</v>
      </c>
      <c r="C378" s="115"/>
      <c r="D378" s="115"/>
      <c r="E378" s="115"/>
      <c r="F378" s="115"/>
      <c r="G378" s="122"/>
    </row>
    <row r="379" spans="1:7" ht="13.5" customHeight="1">
      <c r="A379" s="113"/>
      <c r="B379" s="130"/>
      <c r="C379" s="115"/>
      <c r="D379" s="115"/>
      <c r="E379" s="115"/>
      <c r="F379" s="115"/>
      <c r="G379" s="122"/>
    </row>
    <row r="380" spans="1:7" ht="13.5" customHeight="1">
      <c r="A380" s="113"/>
      <c r="B380" s="130" t="s">
        <v>102</v>
      </c>
      <c r="C380" s="115"/>
      <c r="D380" s="115"/>
      <c r="E380" s="115"/>
      <c r="F380" s="115"/>
      <c r="G380" s="122"/>
    </row>
    <row r="381" spans="1:7" ht="13.5" customHeight="1">
      <c r="A381" s="113"/>
      <c r="B381" s="130" t="s">
        <v>103</v>
      </c>
      <c r="C381" s="115"/>
      <c r="D381" s="115"/>
      <c r="E381" s="115"/>
      <c r="F381" s="115"/>
      <c r="G381" s="122"/>
    </row>
    <row r="382" spans="1:7" ht="13.5" customHeight="1">
      <c r="A382" s="113"/>
      <c r="B382" s="130" t="s">
        <v>104</v>
      </c>
      <c r="C382" s="115"/>
      <c r="D382" s="115"/>
      <c r="E382" s="115"/>
      <c r="F382" s="115"/>
      <c r="G382" s="122"/>
    </row>
    <row r="383" spans="1:7" ht="13.5" customHeight="1">
      <c r="A383" s="113"/>
      <c r="B383" s="130" t="s">
        <v>275</v>
      </c>
      <c r="C383" s="115"/>
      <c r="D383" s="115"/>
      <c r="E383" s="115"/>
      <c r="F383" s="115"/>
      <c r="G383" s="122"/>
    </row>
    <row r="384" spans="1:7" ht="13.5" customHeight="1">
      <c r="A384" s="113"/>
      <c r="B384" s="130" t="s">
        <v>105</v>
      </c>
      <c r="C384" s="115"/>
      <c r="D384" s="115"/>
      <c r="E384" s="115"/>
      <c r="F384" s="115"/>
      <c r="G384" s="122"/>
    </row>
    <row r="385" spans="1:7" ht="13.5" customHeight="1">
      <c r="A385" s="113"/>
      <c r="B385" s="130"/>
      <c r="C385" s="115"/>
      <c r="D385" s="115"/>
      <c r="E385" s="115"/>
      <c r="F385" s="115"/>
      <c r="G385" s="122"/>
    </row>
    <row r="386" spans="1:7" ht="13.5" customHeight="1">
      <c r="A386" s="113"/>
      <c r="B386" s="130" t="s">
        <v>276</v>
      </c>
      <c r="C386" s="115"/>
      <c r="D386" s="115"/>
      <c r="E386" s="115"/>
      <c r="F386" s="115"/>
      <c r="G386" s="122"/>
    </row>
    <row r="387" spans="1:7" ht="13.5" customHeight="1">
      <c r="A387" s="113" t="s">
        <v>3</v>
      </c>
      <c r="B387" s="131" t="s">
        <v>106</v>
      </c>
      <c r="C387" s="115"/>
      <c r="D387" s="115"/>
      <c r="E387" s="115"/>
      <c r="F387" s="115"/>
      <c r="G387" s="122"/>
    </row>
    <row r="388" spans="1:7" ht="13.5" customHeight="1">
      <c r="A388" s="113"/>
      <c r="B388" s="130"/>
      <c r="C388" s="115"/>
      <c r="D388" s="115"/>
      <c r="E388" s="115"/>
      <c r="F388" s="115"/>
      <c r="G388" s="122"/>
    </row>
    <row r="389" spans="1:7" ht="13.5" customHeight="1">
      <c r="A389" s="113"/>
      <c r="B389" s="130" t="s">
        <v>107</v>
      </c>
      <c r="C389" s="115"/>
      <c r="D389" s="115"/>
      <c r="E389" s="115"/>
      <c r="F389" s="115"/>
      <c r="G389" s="122"/>
    </row>
    <row r="390" spans="1:7" ht="13.5" customHeight="1">
      <c r="A390" s="113"/>
      <c r="B390" s="130" t="s">
        <v>108</v>
      </c>
      <c r="C390" s="115"/>
      <c r="D390" s="115"/>
      <c r="E390" s="115"/>
      <c r="F390" s="115"/>
      <c r="G390" s="122"/>
    </row>
    <row r="391" spans="1:7" ht="13.5" customHeight="1">
      <c r="A391" s="113"/>
      <c r="B391" s="131"/>
      <c r="C391" s="115"/>
      <c r="D391" s="115"/>
      <c r="E391" s="115"/>
      <c r="F391" s="115"/>
      <c r="G391" s="122"/>
    </row>
    <row r="392" spans="1:7" ht="13.5" customHeight="1">
      <c r="A392" s="113" t="s">
        <v>4</v>
      </c>
      <c r="B392" s="131" t="s">
        <v>109</v>
      </c>
      <c r="C392" s="115"/>
      <c r="D392" s="115"/>
      <c r="E392" s="115"/>
      <c r="F392" s="115"/>
      <c r="G392" s="122"/>
    </row>
    <row r="393" spans="1:7" ht="13.5" customHeight="1">
      <c r="A393" s="113"/>
      <c r="B393" s="130"/>
      <c r="C393" s="115"/>
      <c r="D393" s="115"/>
      <c r="E393" s="115"/>
      <c r="F393" s="115"/>
      <c r="G393" s="122"/>
    </row>
    <row r="394" spans="1:7" ht="13.5" customHeight="1">
      <c r="A394" s="113"/>
      <c r="B394" s="130" t="s">
        <v>246</v>
      </c>
      <c r="C394" s="115"/>
      <c r="D394" s="115"/>
      <c r="E394" s="132"/>
      <c r="F394" s="115"/>
      <c r="G394" s="122"/>
    </row>
    <row r="395" spans="1:7" ht="13.5" customHeight="1">
      <c r="A395" s="113"/>
      <c r="B395" s="130" t="s">
        <v>247</v>
      </c>
      <c r="C395" s="115"/>
      <c r="D395" s="115"/>
      <c r="E395" s="115"/>
      <c r="F395" s="115"/>
      <c r="G395" s="122"/>
    </row>
    <row r="396" spans="1:7" ht="13.5" customHeight="1">
      <c r="A396" s="113"/>
      <c r="B396" s="130" t="s">
        <v>110</v>
      </c>
      <c r="C396" s="115"/>
      <c r="D396" s="115"/>
      <c r="E396" s="115"/>
      <c r="F396" s="115"/>
      <c r="G396" s="122"/>
    </row>
    <row r="397" spans="1:7" ht="13.5" customHeight="1">
      <c r="A397" s="113"/>
      <c r="B397" s="130" t="s">
        <v>111</v>
      </c>
      <c r="C397" s="115"/>
      <c r="D397" s="115"/>
      <c r="E397" s="115"/>
      <c r="F397" s="115"/>
      <c r="G397" s="122"/>
    </row>
    <row r="398" spans="1:7" ht="13.5" customHeight="1">
      <c r="A398" s="113"/>
      <c r="B398" s="130" t="s">
        <v>112</v>
      </c>
      <c r="C398" s="115"/>
      <c r="D398" s="115"/>
      <c r="E398" s="115"/>
      <c r="F398" s="115"/>
      <c r="G398" s="122"/>
    </row>
    <row r="399" spans="1:7" ht="13.5" customHeight="1">
      <c r="A399" s="113"/>
      <c r="B399" s="130"/>
      <c r="C399" s="115"/>
      <c r="D399" s="115"/>
      <c r="E399" s="115"/>
      <c r="F399" s="115"/>
      <c r="G399" s="122"/>
    </row>
    <row r="400" spans="1:7" ht="13.5" customHeight="1">
      <c r="A400" s="113"/>
      <c r="B400" s="132" t="s">
        <v>25</v>
      </c>
      <c r="C400" s="115"/>
      <c r="D400" s="115"/>
      <c r="E400" s="115"/>
      <c r="F400" s="115"/>
      <c r="G400" s="122"/>
    </row>
    <row r="401" spans="1:7" ht="13.5" customHeight="1">
      <c r="A401" s="113"/>
      <c r="B401" s="130"/>
      <c r="C401" s="115"/>
      <c r="D401" s="115"/>
      <c r="E401" s="115"/>
      <c r="F401" s="115"/>
      <c r="G401" s="122"/>
    </row>
    <row r="402" spans="1:7" ht="13.5" customHeight="1">
      <c r="A402" s="113" t="s">
        <v>2</v>
      </c>
      <c r="B402" s="131" t="s">
        <v>113</v>
      </c>
      <c r="C402" s="115"/>
      <c r="D402" s="115"/>
      <c r="E402" s="115"/>
      <c r="F402" s="115"/>
      <c r="G402" s="122"/>
    </row>
    <row r="403" spans="1:7" ht="13.5" customHeight="1">
      <c r="A403" s="113"/>
      <c r="B403" s="130" t="s">
        <v>277</v>
      </c>
      <c r="C403" s="115"/>
      <c r="D403" s="115"/>
      <c r="E403" s="115"/>
      <c r="F403" s="115"/>
      <c r="G403" s="122"/>
    </row>
    <row r="404" spans="1:7" ht="13.5" customHeight="1">
      <c r="A404" s="113"/>
      <c r="B404" s="130" t="s">
        <v>248</v>
      </c>
      <c r="C404" s="115"/>
      <c r="D404" s="115"/>
      <c r="E404" s="115"/>
      <c r="F404" s="115"/>
      <c r="G404" s="122"/>
    </row>
    <row r="405" spans="1:7" ht="13.5" customHeight="1">
      <c r="A405" s="113" t="s">
        <v>11</v>
      </c>
      <c r="B405" s="130" t="s">
        <v>249</v>
      </c>
      <c r="C405" s="115"/>
      <c r="D405" s="115"/>
      <c r="E405" s="115"/>
      <c r="F405" s="115"/>
      <c r="G405" s="122"/>
    </row>
    <row r="406" spans="1:7" ht="13.5" customHeight="1">
      <c r="A406" s="113"/>
      <c r="B406" s="130"/>
      <c r="C406" s="115"/>
      <c r="D406" s="115"/>
      <c r="E406" s="115"/>
      <c r="F406" s="115"/>
      <c r="G406" s="122"/>
    </row>
    <row r="407" spans="1:7" ht="13.5" customHeight="1">
      <c r="A407" s="113"/>
      <c r="B407" s="130" t="s">
        <v>278</v>
      </c>
      <c r="C407" s="115"/>
      <c r="D407" s="115"/>
      <c r="E407" s="115"/>
      <c r="F407" s="115"/>
      <c r="G407" s="122"/>
    </row>
    <row r="408" spans="1:7" ht="13.5" customHeight="1">
      <c r="A408" s="113"/>
      <c r="B408" s="130" t="s">
        <v>250</v>
      </c>
      <c r="C408" s="115"/>
      <c r="D408" s="115"/>
      <c r="E408" s="115"/>
      <c r="F408" s="115"/>
      <c r="G408" s="122"/>
    </row>
    <row r="409" spans="1:7" ht="13.5" customHeight="1">
      <c r="A409" s="113"/>
      <c r="B409" s="130"/>
      <c r="C409" s="115"/>
      <c r="D409" s="115"/>
      <c r="E409" s="115"/>
      <c r="F409" s="115"/>
      <c r="G409" s="122"/>
    </row>
    <row r="410" spans="1:7" ht="13.5" customHeight="1">
      <c r="A410" s="113"/>
      <c r="B410" s="130"/>
      <c r="C410" s="115"/>
      <c r="D410" s="115"/>
      <c r="E410" s="115"/>
      <c r="F410" s="115"/>
      <c r="G410" s="122"/>
    </row>
    <row r="411" spans="1:7" ht="13.5" customHeight="1">
      <c r="A411" s="113"/>
      <c r="B411" s="130"/>
      <c r="C411" s="115"/>
      <c r="D411" s="115"/>
      <c r="E411" s="115"/>
      <c r="F411" s="115"/>
      <c r="G411" s="122"/>
    </row>
    <row r="412" spans="1:7" ht="13.5" customHeight="1">
      <c r="A412" s="113"/>
      <c r="B412" s="130"/>
      <c r="C412" s="115"/>
      <c r="D412" s="115"/>
      <c r="E412" s="115"/>
      <c r="F412" s="115"/>
      <c r="G412" s="122"/>
    </row>
    <row r="413" spans="1:7" ht="13.5" customHeight="1">
      <c r="A413" s="113"/>
      <c r="B413" s="130"/>
      <c r="C413" s="115"/>
      <c r="D413" s="115"/>
      <c r="E413" s="115"/>
      <c r="F413" s="115"/>
      <c r="G413" s="122"/>
    </row>
    <row r="414" spans="1:7" ht="13.5" customHeight="1">
      <c r="A414" s="113"/>
      <c r="B414" s="130"/>
      <c r="C414" s="115"/>
      <c r="D414" s="115"/>
      <c r="E414" s="115"/>
      <c r="F414" s="115"/>
      <c r="G414" s="122"/>
    </row>
    <row r="415" spans="1:7" ht="13.5" customHeight="1">
      <c r="A415" s="113" t="s">
        <v>26</v>
      </c>
      <c r="B415" s="135" t="s">
        <v>114</v>
      </c>
      <c r="C415" s="115"/>
      <c r="D415" s="115"/>
      <c r="E415" s="115"/>
      <c r="F415" s="115"/>
      <c r="G415" s="122"/>
    </row>
    <row r="416" spans="1:7" ht="13.5" customHeight="1">
      <c r="A416" s="113"/>
      <c r="B416" s="130"/>
      <c r="C416" s="115"/>
      <c r="D416" s="115"/>
      <c r="E416" s="115"/>
      <c r="F416" s="115"/>
      <c r="G416" s="122"/>
    </row>
    <row r="417" spans="1:7" ht="13.5" customHeight="1">
      <c r="A417" s="113" t="s">
        <v>3</v>
      </c>
      <c r="B417" s="131" t="s">
        <v>115</v>
      </c>
      <c r="C417" s="115"/>
      <c r="D417" s="115"/>
      <c r="E417" s="115"/>
      <c r="F417" s="115"/>
      <c r="G417" s="122"/>
    </row>
    <row r="418" spans="1:7" ht="13.5" customHeight="1">
      <c r="A418" s="113"/>
      <c r="B418" s="130"/>
      <c r="C418" s="115"/>
      <c r="D418" s="115"/>
      <c r="E418" s="115"/>
      <c r="F418" s="115"/>
      <c r="G418" s="122"/>
    </row>
    <row r="419" spans="1:7" ht="13.5" customHeight="1">
      <c r="A419" s="113" t="s">
        <v>26</v>
      </c>
      <c r="B419" s="130" t="s">
        <v>251</v>
      </c>
      <c r="C419" s="115"/>
      <c r="D419" s="115"/>
      <c r="E419" s="115"/>
      <c r="F419" s="115"/>
      <c r="G419" s="122"/>
    </row>
    <row r="420" spans="1:7" ht="13.5" customHeight="1">
      <c r="A420" s="113"/>
      <c r="B420" s="130" t="s">
        <v>116</v>
      </c>
      <c r="C420" s="115"/>
      <c r="D420" s="115"/>
      <c r="E420" s="115"/>
      <c r="F420" s="115"/>
      <c r="G420" s="122"/>
    </row>
    <row r="421" spans="1:7" ht="13.5" customHeight="1">
      <c r="A421" s="113"/>
      <c r="B421" s="130" t="s">
        <v>117</v>
      </c>
      <c r="C421" s="115"/>
      <c r="D421" s="115"/>
      <c r="E421" s="115"/>
      <c r="F421" s="115"/>
      <c r="G421" s="122"/>
    </row>
    <row r="422" spans="1:7" ht="13.5" customHeight="1">
      <c r="A422" s="113"/>
      <c r="B422" s="130"/>
      <c r="C422" s="115"/>
      <c r="D422" s="115"/>
      <c r="E422" s="115"/>
      <c r="F422" s="115"/>
      <c r="G422" s="122"/>
    </row>
    <row r="423" spans="1:7" ht="13.5" customHeight="1">
      <c r="A423" s="113"/>
      <c r="B423" s="130"/>
      <c r="C423" s="115"/>
      <c r="D423" s="115"/>
      <c r="E423" s="115"/>
      <c r="F423" s="115"/>
      <c r="G423" s="122"/>
    </row>
    <row r="424" spans="1:7" ht="13.5" customHeight="1">
      <c r="A424" s="113" t="s">
        <v>4</v>
      </c>
      <c r="B424" s="131" t="s">
        <v>118</v>
      </c>
      <c r="C424" s="115"/>
      <c r="D424" s="115"/>
      <c r="E424" s="115"/>
      <c r="F424" s="115"/>
      <c r="G424" s="122"/>
    </row>
    <row r="425" spans="1:7" ht="13.5" customHeight="1">
      <c r="A425" s="113"/>
      <c r="B425" s="130"/>
      <c r="C425" s="115"/>
      <c r="D425" s="115"/>
      <c r="E425" s="115"/>
      <c r="F425" s="115"/>
      <c r="G425" s="122"/>
    </row>
    <row r="426" spans="1:7" ht="13.5" customHeight="1">
      <c r="A426" s="113"/>
      <c r="B426" s="130" t="s">
        <v>252</v>
      </c>
      <c r="C426" s="115"/>
      <c r="D426" s="115"/>
      <c r="E426" s="115"/>
      <c r="F426" s="115"/>
      <c r="G426" s="122"/>
    </row>
    <row r="427" spans="1:7" ht="13.5" customHeight="1">
      <c r="A427" s="113"/>
      <c r="B427" s="130" t="s">
        <v>253</v>
      </c>
      <c r="C427" s="115"/>
      <c r="D427" s="115"/>
      <c r="E427" s="115"/>
      <c r="F427" s="115"/>
      <c r="G427" s="122"/>
    </row>
    <row r="428" spans="1:7" ht="13.5" customHeight="1">
      <c r="A428" s="113"/>
      <c r="B428" s="130" t="s">
        <v>254</v>
      </c>
      <c r="C428" s="115"/>
      <c r="D428" s="115"/>
      <c r="E428" s="115"/>
      <c r="F428" s="115"/>
      <c r="G428" s="122"/>
    </row>
    <row r="429" spans="1:7" ht="13.5" customHeight="1">
      <c r="A429" s="113"/>
      <c r="B429" s="130" t="s">
        <v>255</v>
      </c>
      <c r="C429" s="115"/>
      <c r="D429" s="115"/>
      <c r="E429" s="115"/>
      <c r="F429" s="115"/>
      <c r="G429" s="122"/>
    </row>
    <row r="430" spans="1:7" ht="13.5" customHeight="1">
      <c r="A430" s="113"/>
      <c r="B430" s="130" t="s">
        <v>256</v>
      </c>
      <c r="C430" s="115"/>
      <c r="D430" s="115"/>
      <c r="E430" s="115"/>
      <c r="F430" s="115"/>
      <c r="G430" s="122"/>
    </row>
    <row r="431" spans="1:7" ht="13.5" customHeight="1">
      <c r="A431" s="113" t="s">
        <v>119</v>
      </c>
      <c r="B431" s="130" t="s">
        <v>257</v>
      </c>
      <c r="C431" s="115"/>
      <c r="D431" s="115"/>
      <c r="E431" s="115"/>
      <c r="F431" s="115"/>
      <c r="G431" s="122"/>
    </row>
    <row r="432" spans="1:7" ht="13.5" customHeight="1">
      <c r="A432" s="113"/>
      <c r="B432" s="130" t="s">
        <v>258</v>
      </c>
      <c r="C432" s="115"/>
      <c r="D432" s="115"/>
      <c r="E432" s="115"/>
      <c r="F432" s="115"/>
      <c r="G432" s="122"/>
    </row>
    <row r="433" spans="1:7" ht="13.5" customHeight="1">
      <c r="A433" s="113"/>
      <c r="B433" s="130" t="s">
        <v>259</v>
      </c>
      <c r="C433" s="115"/>
      <c r="D433" s="115"/>
      <c r="E433" s="115"/>
      <c r="F433" s="115"/>
      <c r="G433" s="122"/>
    </row>
    <row r="434" spans="1:7" ht="13.5" customHeight="1">
      <c r="A434" s="113"/>
      <c r="B434" s="130"/>
      <c r="C434" s="115"/>
      <c r="D434" s="115"/>
      <c r="E434" s="115"/>
      <c r="F434" s="115"/>
      <c r="G434" s="122"/>
    </row>
    <row r="435" spans="1:7" ht="13.5" customHeight="1">
      <c r="A435" s="113"/>
      <c r="B435" s="130"/>
      <c r="C435" s="115"/>
      <c r="D435" s="115"/>
      <c r="E435" s="115"/>
      <c r="F435" s="115"/>
      <c r="G435" s="122"/>
    </row>
    <row r="436" spans="1:7" ht="13.5" customHeight="1">
      <c r="A436" s="113"/>
      <c r="B436" s="132" t="s">
        <v>25</v>
      </c>
      <c r="C436" s="115"/>
      <c r="D436" s="115"/>
      <c r="E436" s="115"/>
      <c r="F436" s="115"/>
      <c r="G436" s="122"/>
    </row>
    <row r="437" spans="1:7" ht="13.5" customHeight="1">
      <c r="A437" s="113"/>
      <c r="B437" s="130"/>
      <c r="C437" s="115"/>
      <c r="D437" s="115"/>
      <c r="E437" s="115"/>
      <c r="F437" s="115"/>
      <c r="G437" s="122"/>
    </row>
    <row r="438" spans="1:7" ht="13.5" customHeight="1">
      <c r="A438" s="113"/>
      <c r="B438" s="115" t="s">
        <v>594</v>
      </c>
      <c r="C438" s="407">
        <v>50</v>
      </c>
      <c r="D438" s="115"/>
      <c r="E438" s="138" t="s">
        <v>120</v>
      </c>
      <c r="F438" s="115"/>
      <c r="G438" s="139"/>
    </row>
    <row r="439" spans="1:7" ht="13.5" customHeight="1">
      <c r="A439" s="113"/>
      <c r="B439" s="130"/>
      <c r="C439" s="407"/>
      <c r="D439" s="115"/>
      <c r="E439" s="127"/>
      <c r="F439" s="115"/>
      <c r="G439" s="139"/>
    </row>
    <row r="440" spans="1:7" ht="13.5" customHeight="1">
      <c r="A440" s="113"/>
      <c r="B440" s="115" t="s">
        <v>595</v>
      </c>
      <c r="C440" s="407">
        <v>100</v>
      </c>
      <c r="D440" s="115"/>
      <c r="E440" s="115"/>
      <c r="F440" s="115"/>
      <c r="G440" s="139"/>
    </row>
    <row r="441" spans="1:7" ht="13.5" customHeight="1">
      <c r="A441" s="113"/>
      <c r="B441" s="115"/>
      <c r="C441" s="407"/>
      <c r="D441" s="115"/>
      <c r="E441" s="127"/>
      <c r="F441" s="115"/>
      <c r="G441" s="139"/>
    </row>
    <row r="442" spans="1:7" ht="13.5" customHeight="1">
      <c r="A442" s="113"/>
      <c r="B442" s="115" t="s">
        <v>596</v>
      </c>
      <c r="C442" s="407">
        <v>60</v>
      </c>
      <c r="D442" s="115"/>
      <c r="E442" s="127"/>
      <c r="F442" s="115"/>
      <c r="G442" s="139"/>
    </row>
    <row r="443" spans="1:7" ht="13.5" customHeight="1">
      <c r="A443" s="113"/>
      <c r="B443" s="115"/>
      <c r="C443" s="407"/>
      <c r="D443" s="115"/>
      <c r="E443" s="127"/>
      <c r="F443" s="115"/>
      <c r="G443" s="139"/>
    </row>
    <row r="444" spans="1:7" ht="13.5" customHeight="1">
      <c r="A444" s="113"/>
      <c r="B444" s="115" t="s">
        <v>597</v>
      </c>
      <c r="C444" s="407">
        <v>700</v>
      </c>
      <c r="D444" s="115"/>
      <c r="E444" s="127"/>
      <c r="F444" s="115"/>
      <c r="G444" s="139"/>
    </row>
    <row r="445" spans="1:7" ht="13.5" customHeight="1">
      <c r="A445" s="113"/>
      <c r="B445" s="115"/>
      <c r="C445" s="407"/>
      <c r="D445" s="115"/>
      <c r="E445" s="127"/>
      <c r="F445" s="115"/>
      <c r="G445" s="139"/>
    </row>
    <row r="446" spans="1:7" ht="13.5" customHeight="1">
      <c r="A446" s="113"/>
      <c r="B446" s="115" t="s">
        <v>598</v>
      </c>
      <c r="C446" s="407">
        <v>550</v>
      </c>
      <c r="D446" s="115"/>
      <c r="E446" s="127"/>
      <c r="F446" s="115"/>
      <c r="G446" s="139"/>
    </row>
    <row r="447" spans="1:7" ht="13.5" customHeight="1">
      <c r="A447" s="113"/>
      <c r="B447" s="115"/>
      <c r="C447" s="407"/>
      <c r="D447" s="115"/>
      <c r="E447" s="127"/>
      <c r="F447" s="115"/>
      <c r="G447" s="139"/>
    </row>
    <row r="448" spans="1:7" ht="13.5" customHeight="1">
      <c r="A448" s="113"/>
      <c r="B448" s="115" t="s">
        <v>598</v>
      </c>
      <c r="C448" s="407">
        <v>550</v>
      </c>
      <c r="D448" s="115"/>
      <c r="E448" s="127"/>
      <c r="F448" s="115"/>
      <c r="G448" s="139"/>
    </row>
    <row r="449" spans="1:7" ht="13.5" customHeight="1">
      <c r="A449" s="113"/>
      <c r="B449" s="115"/>
      <c r="C449" s="407"/>
      <c r="D449" s="115"/>
      <c r="E449" s="127"/>
      <c r="F449" s="115"/>
      <c r="G449" s="139"/>
    </row>
    <row r="450" spans="1:7" ht="13.5" customHeight="1">
      <c r="A450" s="113"/>
      <c r="B450" s="115" t="s">
        <v>599</v>
      </c>
      <c r="C450" s="407">
        <v>390</v>
      </c>
      <c r="D450" s="115"/>
      <c r="E450" s="127"/>
      <c r="F450" s="115"/>
      <c r="G450" s="139"/>
    </row>
    <row r="451" spans="1:7" ht="13.5" customHeight="1">
      <c r="A451" s="113"/>
      <c r="B451" s="115"/>
      <c r="C451" s="407"/>
      <c r="D451" s="115"/>
      <c r="E451" s="127"/>
      <c r="F451" s="115"/>
      <c r="G451" s="139"/>
    </row>
    <row r="452" spans="1:7" ht="13.5" customHeight="1">
      <c r="A452" s="113"/>
      <c r="B452" s="115"/>
      <c r="C452" s="407">
        <v>100</v>
      </c>
      <c r="D452" s="115"/>
      <c r="E452" s="127"/>
      <c r="F452" s="115"/>
      <c r="G452" s="139"/>
    </row>
    <row r="453" spans="1:7" ht="13.5" customHeight="1">
      <c r="A453" s="113"/>
      <c r="B453" s="115"/>
      <c r="C453" s="407"/>
      <c r="D453" s="115"/>
      <c r="E453" s="127"/>
      <c r="F453" s="115"/>
      <c r="G453" s="139"/>
    </row>
    <row r="454" spans="1:7" ht="13.5" customHeight="1">
      <c r="A454" s="113"/>
      <c r="B454" s="115"/>
      <c r="C454" s="407"/>
      <c r="D454" s="115"/>
      <c r="E454" s="127"/>
      <c r="F454" s="115"/>
      <c r="G454" s="139"/>
    </row>
    <row r="455" spans="1:7" ht="13.5" customHeight="1">
      <c r="A455" s="113"/>
      <c r="B455" s="115"/>
      <c r="C455" s="407"/>
      <c r="D455" s="115"/>
      <c r="E455" s="127"/>
      <c r="F455" s="115"/>
      <c r="G455" s="139"/>
    </row>
    <row r="456" spans="1:7" ht="13.5" customHeight="1">
      <c r="A456" s="113"/>
      <c r="B456" s="115"/>
      <c r="C456" s="407">
        <v>2500</v>
      </c>
      <c r="D456" s="115"/>
      <c r="E456" s="127"/>
      <c r="F456" s="115"/>
      <c r="G456" s="139"/>
    </row>
    <row r="457" spans="1:7" ht="13.5" customHeight="1">
      <c r="A457" s="113"/>
      <c r="B457" s="130"/>
      <c r="C457" s="115"/>
      <c r="D457" s="115"/>
      <c r="E457" s="127"/>
      <c r="F457" s="115"/>
      <c r="G457" s="139"/>
    </row>
    <row r="458" spans="1:7" ht="13.5" customHeight="1">
      <c r="A458" s="113"/>
      <c r="B458" s="130"/>
      <c r="C458" s="115"/>
      <c r="D458" s="115"/>
      <c r="E458" s="127"/>
      <c r="F458" s="115"/>
      <c r="G458" s="139"/>
    </row>
    <row r="459" spans="1:7" ht="13.5" customHeight="1">
      <c r="A459" s="113"/>
      <c r="B459" s="130"/>
      <c r="C459" s="115"/>
      <c r="D459" s="115"/>
      <c r="E459" s="127"/>
      <c r="F459" s="115"/>
      <c r="G459" s="139"/>
    </row>
    <row r="460" spans="1:7" ht="13.5" customHeight="1">
      <c r="A460" s="113"/>
      <c r="B460" s="130"/>
      <c r="C460" s="115"/>
      <c r="D460" s="115"/>
      <c r="E460" s="127"/>
      <c r="F460" s="115"/>
      <c r="G460" s="139"/>
    </row>
    <row r="461" spans="1:7" ht="13.5" customHeight="1">
      <c r="A461" s="113"/>
      <c r="B461" s="130"/>
      <c r="C461" s="115"/>
      <c r="D461" s="115"/>
      <c r="E461" s="127"/>
      <c r="F461" s="115"/>
      <c r="G461" s="139"/>
    </row>
    <row r="462" spans="1:7" ht="13.5" customHeight="1">
      <c r="A462" s="113"/>
      <c r="B462" s="130"/>
      <c r="C462" s="115"/>
      <c r="D462" s="115"/>
      <c r="E462" s="127"/>
      <c r="F462" s="115"/>
      <c r="G462" s="139"/>
    </row>
    <row r="463" spans="1:7" ht="13.5" customHeight="1">
      <c r="A463" s="113"/>
      <c r="B463" s="130"/>
      <c r="C463" s="115"/>
      <c r="D463" s="115"/>
      <c r="E463" s="127"/>
      <c r="F463" s="115"/>
      <c r="G463" s="139"/>
    </row>
    <row r="464" spans="1:7" ht="13.5" customHeight="1">
      <c r="A464" s="113"/>
      <c r="B464" s="130"/>
      <c r="C464" s="115"/>
      <c r="D464" s="115"/>
      <c r="E464" s="127"/>
      <c r="F464" s="115"/>
      <c r="G464" s="139"/>
    </row>
    <row r="465" spans="1:7" ht="13.5" customHeight="1">
      <c r="A465" s="113"/>
      <c r="B465" s="130"/>
      <c r="C465" s="115"/>
      <c r="D465" s="115"/>
      <c r="E465" s="127"/>
      <c r="F465" s="115"/>
      <c r="G465" s="140"/>
    </row>
    <row r="466" spans="1:7" ht="13.5" customHeight="1">
      <c r="A466" s="113"/>
      <c r="B466" s="141"/>
      <c r="C466" s="142"/>
      <c r="D466" s="142"/>
      <c r="E466" s="142"/>
      <c r="F466" s="132"/>
      <c r="G466" s="139"/>
    </row>
    <row r="467" spans="1:7" ht="13.5" customHeight="1">
      <c r="A467" s="113"/>
      <c r="B467" s="143" t="s">
        <v>290</v>
      </c>
      <c r="C467" s="141"/>
      <c r="D467" s="141"/>
      <c r="E467" s="141"/>
      <c r="F467" s="129" t="s">
        <v>279</v>
      </c>
      <c r="G467" s="145"/>
    </row>
    <row r="468" spans="1:7" ht="13.5" customHeight="1">
      <c r="A468" s="113"/>
      <c r="B468" s="130"/>
      <c r="C468" s="115"/>
      <c r="D468" s="115"/>
      <c r="E468" s="115"/>
      <c r="F468" s="144"/>
      <c r="G468" s="146"/>
    </row>
    <row r="469" spans="1:7" ht="13.5" customHeight="1" thickBot="1">
      <c r="A469" s="113"/>
      <c r="B469" s="130"/>
      <c r="C469" s="115"/>
      <c r="D469" s="115"/>
      <c r="E469" s="115"/>
      <c r="F469" s="115"/>
      <c r="G469" s="147"/>
    </row>
    <row r="470" spans="1:7" ht="13.5" customHeight="1" thickTop="1">
      <c r="A470" s="113"/>
      <c r="B470" s="130"/>
      <c r="C470" s="115"/>
      <c r="D470" s="115"/>
      <c r="E470" s="115"/>
      <c r="F470" s="115"/>
      <c r="G470" s="139"/>
    </row>
    <row r="471" spans="1:7" ht="13.5" customHeight="1">
      <c r="A471" s="113"/>
      <c r="B471" s="130"/>
      <c r="C471" s="115"/>
      <c r="D471" s="115"/>
      <c r="E471" s="115"/>
      <c r="F471" s="115"/>
      <c r="G471" s="139"/>
    </row>
  </sheetData>
  <customSheetViews>
    <customSheetView guid="{58A41188-4CB9-4607-A927-9B98665919B2}" showPageBreaks="1" view="pageBreakPreview" topLeftCell="A424">
      <selection activeCell="B186" sqref="B186"/>
      <rowBreaks count="11" manualBreakCount="11">
        <brk id="56" max="16383" man="1"/>
        <brk id="148" max="16383" man="1"/>
        <brk id="194" max="16383" man="1"/>
        <brk id="243" max="16383" man="1"/>
        <brk id="299" max="16383" man="1"/>
        <brk id="357" max="16383" man="1"/>
        <brk id="401" max="16383" man="1"/>
        <brk id="474" max="10" man="1"/>
        <brk id="542" max="10" man="1"/>
        <brk id="623" max="10" man="1"/>
        <brk id="693" max="10" man="1"/>
      </rowBreaks>
      <pageMargins left="0.2" right="0.2" top="0.75" bottom="0.5" header="0.45" footer="0.3"/>
      <printOptions horizontalCentered="1"/>
      <pageSetup scale="51" orientation="portrait" verticalDpi="300" r:id="rId1"/>
      <headerFooter alignWithMargins="0">
        <oddHeader>&amp;LSECTION 1: PRELIMINARIES AND GENERAL DESCRIPTIONS&amp;R PROPOSED SHIBIS DISTRICT NEW POLICE STATION</oddHeader>
        <oddFooter>&amp;C1/&amp;P</oddFooter>
      </headerFooter>
    </customSheetView>
    <customSheetView guid="{1E933494-4ABB-4290-95BF-88ADDB331983}" scale="107" showPageBreaks="1" printArea="1" view="pageBreakPreview" topLeftCell="A437">
      <selection activeCell="C462" sqref="C462"/>
      <rowBreaks count="1" manualBreakCount="1">
        <brk id="57" max="5" man="1"/>
      </rowBreaks>
      <pageMargins left="0.2" right="0.2" top="0.75" bottom="0.5" header="0.45" footer="0.3"/>
      <printOptions horizontalCentered="1"/>
      <pageSetup scale="75" orientation="portrait" verticalDpi="300" r:id="rId2"/>
      <headerFooter alignWithMargins="0">
        <oddHeader>&amp;LSECTION 1: PRELIMINARIES AND GENERAL DESCRIPTIONS&amp;R PROPOSED SHIBIS DISTRICT NEW POLICE STATION</oddHeader>
        <oddFooter>&amp;C1/&amp;P</oddFooter>
      </headerFooter>
    </customSheetView>
  </customSheetViews>
  <printOptions horizontalCentered="1"/>
  <pageMargins left="0.2" right="0.2" top="0.75" bottom="0.5" header="0.45" footer="0.3"/>
  <pageSetup scale="51" orientation="portrait" verticalDpi="300" r:id="rId3"/>
  <headerFooter alignWithMargins="0">
    <oddHeader>&amp;LSECTION 1: PRELIMINARIES AND GENERAL DESCRIPTIONS&amp;R PROPOSED SHIBIS DISTRICT NEW POLICE STATION</oddHeader>
    <oddFooter>&amp;C1/&amp;P</oddFooter>
  </headerFooter>
  <rowBreaks count="11" manualBreakCount="11">
    <brk id="56" max="16383" man="1"/>
    <brk id="148" max="16383" man="1"/>
    <brk id="194" max="16383" man="1"/>
    <brk id="243" max="16383" man="1"/>
    <brk id="299" max="16383" man="1"/>
    <brk id="357" max="16383" man="1"/>
    <brk id="401" max="16383" man="1"/>
    <brk id="474" max="10" man="1"/>
    <brk id="542" max="10" man="1"/>
    <brk id="623" max="10" man="1"/>
    <brk id="693"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234"/>
  <sheetViews>
    <sheetView view="pageBreakPreview" zoomScale="107" zoomScaleNormal="100" zoomScaleSheetLayoutView="107" workbookViewId="0">
      <pane xSplit="2" ySplit="1" topLeftCell="C218" activePane="bottomRight" state="frozen"/>
      <selection pane="topRight" activeCell="C1" sqref="C1"/>
      <selection pane="bottomLeft" activeCell="A2" sqref="A2"/>
      <selection pane="bottomRight" activeCell="E201" sqref="E201:E233"/>
    </sheetView>
  </sheetViews>
  <sheetFormatPr defaultColWidth="8.88671875" defaultRowHeight="14.4"/>
  <cols>
    <col min="1" max="1" width="8.6640625" style="423" customWidth="1"/>
    <col min="2" max="2" width="51.6640625" style="430" customWidth="1"/>
    <col min="3" max="3" width="8.88671875" style="587"/>
    <col min="4" max="4" width="6.88671875" style="587" bestFit="1" customWidth="1"/>
    <col min="5" max="5" width="8.5546875" style="587" customWidth="1"/>
    <col min="6" max="6" width="16" style="587" customWidth="1"/>
    <col min="7" max="16384" width="8.88671875" style="32"/>
  </cols>
  <sheetData>
    <row r="1" spans="1:6">
      <c r="A1" s="589" t="s">
        <v>260</v>
      </c>
      <c r="B1" s="590" t="s">
        <v>13</v>
      </c>
      <c r="C1" s="591" t="s">
        <v>330</v>
      </c>
      <c r="D1" s="592" t="s">
        <v>331</v>
      </c>
      <c r="E1" s="593" t="s">
        <v>332</v>
      </c>
      <c r="F1" s="594"/>
    </row>
    <row r="2" spans="1:6">
      <c r="A2" s="595"/>
      <c r="B2" s="596" t="str">
        <f>'1 Preliminaries '!B2</f>
        <v>PROPOSED MALE TRANSITION CENTER - BAIDOA</v>
      </c>
      <c r="C2" s="597"/>
      <c r="D2" s="598"/>
      <c r="E2" s="599"/>
      <c r="F2" s="600"/>
    </row>
    <row r="3" spans="1:6">
      <c r="A3" s="595"/>
      <c r="B3" s="601" t="s">
        <v>1497</v>
      </c>
      <c r="C3" s="597"/>
      <c r="D3" s="598"/>
      <c r="E3" s="599"/>
      <c r="F3" s="600"/>
    </row>
    <row r="4" spans="1:6">
      <c r="A4" s="595"/>
      <c r="B4" s="601"/>
      <c r="C4" s="597"/>
      <c r="D4" s="598"/>
      <c r="E4" s="599"/>
      <c r="F4" s="600"/>
    </row>
    <row r="5" spans="1:6">
      <c r="A5" s="602">
        <v>10</v>
      </c>
      <c r="B5" s="596" t="s">
        <v>766</v>
      </c>
      <c r="C5" s="603"/>
      <c r="D5" s="604"/>
      <c r="E5" s="599"/>
      <c r="F5" s="605"/>
    </row>
    <row r="6" spans="1:6">
      <c r="A6" s="602"/>
      <c r="B6" s="606"/>
      <c r="C6" s="603"/>
      <c r="D6" s="604"/>
      <c r="E6" s="599"/>
      <c r="F6" s="605"/>
    </row>
    <row r="7" spans="1:6">
      <c r="A7" s="602">
        <v>10.1</v>
      </c>
      <c r="B7" s="596" t="s">
        <v>476</v>
      </c>
      <c r="C7" s="603"/>
      <c r="D7" s="604"/>
      <c r="E7" s="599"/>
      <c r="F7" s="605"/>
    </row>
    <row r="8" spans="1:6" ht="28.8">
      <c r="A8" s="602" t="s">
        <v>1463</v>
      </c>
      <c r="B8" s="607" t="s">
        <v>1498</v>
      </c>
      <c r="C8" s="604" t="s">
        <v>689</v>
      </c>
      <c r="D8" s="604">
        <f>CEILING(34*0.4*3.3,1)</f>
        <v>45</v>
      </c>
      <c r="E8" s="599"/>
      <c r="F8" s="605"/>
    </row>
    <row r="9" spans="1:6" ht="28.8">
      <c r="A9" s="602" t="s">
        <v>1464</v>
      </c>
      <c r="B9" s="607" t="s">
        <v>1476</v>
      </c>
      <c r="C9" s="604" t="s">
        <v>465</v>
      </c>
      <c r="D9" s="604">
        <f>95+18</f>
        <v>113</v>
      </c>
      <c r="E9" s="599"/>
      <c r="F9" s="605"/>
    </row>
    <row r="10" spans="1:6" ht="28.8">
      <c r="A10" s="608" t="s">
        <v>1465</v>
      </c>
      <c r="B10" s="607" t="s">
        <v>477</v>
      </c>
      <c r="C10" s="604" t="s">
        <v>465</v>
      </c>
      <c r="D10" s="604">
        <f>D9</f>
        <v>113</v>
      </c>
      <c r="E10" s="599"/>
      <c r="F10" s="605"/>
    </row>
    <row r="11" spans="1:6" ht="28.8">
      <c r="A11" s="602" t="s">
        <v>1466</v>
      </c>
      <c r="B11" s="607" t="s">
        <v>1477</v>
      </c>
      <c r="C11" s="604" t="s">
        <v>689</v>
      </c>
      <c r="D11" s="604">
        <f>CEILING((52.5+16.8+18+18)*0.6*0.1,1)</f>
        <v>7</v>
      </c>
      <c r="E11" s="599"/>
      <c r="F11" s="605"/>
    </row>
    <row r="12" spans="1:6" s="504" customFormat="1">
      <c r="A12" s="1105"/>
      <c r="B12" s="1106"/>
      <c r="C12" s="1107"/>
      <c r="D12" s="1107"/>
      <c r="E12" s="1108"/>
      <c r="F12" s="1109"/>
    </row>
    <row r="13" spans="1:6" s="504" customFormat="1">
      <c r="A13" s="545"/>
      <c r="B13" s="546" t="s">
        <v>884</v>
      </c>
      <c r="C13" s="547"/>
      <c r="D13" s="547"/>
      <c r="E13" s="547"/>
      <c r="F13" s="576"/>
    </row>
    <row r="14" spans="1:6" s="504" customFormat="1" ht="16.2">
      <c r="A14" s="426" t="s">
        <v>1474</v>
      </c>
      <c r="B14" s="427" t="s">
        <v>1485</v>
      </c>
      <c r="C14" s="205" t="s">
        <v>501</v>
      </c>
      <c r="D14" s="151">
        <f>CEILING((52.5+16.8+18)*0.6*0.2,1)</f>
        <v>11</v>
      </c>
      <c r="E14" s="152"/>
      <c r="F14" s="190"/>
    </row>
    <row r="15" spans="1:6" s="504" customFormat="1" ht="16.2">
      <c r="A15" s="426" t="s">
        <v>1475</v>
      </c>
      <c r="B15" s="427" t="s">
        <v>985</v>
      </c>
      <c r="C15" s="205" t="s">
        <v>501</v>
      </c>
      <c r="D15" s="151">
        <f>CEILING(0.3*0.3*4.3*6,1)</f>
        <v>3</v>
      </c>
      <c r="E15" s="152"/>
      <c r="F15" s="190"/>
    </row>
    <row r="16" spans="1:6" s="504" customFormat="1" ht="16.2">
      <c r="A16" s="426" t="s">
        <v>1478</v>
      </c>
      <c r="B16" s="427" t="s">
        <v>886</v>
      </c>
      <c r="C16" s="205" t="s">
        <v>501</v>
      </c>
      <c r="D16" s="151">
        <f>CEILING((52.5+16.8+18)*0.3*0.2,1)</f>
        <v>6</v>
      </c>
      <c r="E16" s="152"/>
      <c r="F16" s="190"/>
    </row>
    <row r="17" spans="1:7" s="504" customFormat="1">
      <c r="A17" s="548"/>
      <c r="B17" s="549"/>
      <c r="C17" s="547"/>
      <c r="D17" s="547"/>
      <c r="E17" s="547"/>
      <c r="F17" s="576"/>
    </row>
    <row r="18" spans="1:7" s="504" customFormat="1">
      <c r="A18" s="548"/>
      <c r="B18" s="546" t="s">
        <v>888</v>
      </c>
      <c r="C18" s="547"/>
      <c r="D18" s="547"/>
      <c r="E18" s="547"/>
      <c r="F18" s="576"/>
    </row>
    <row r="19" spans="1:7" s="504" customFormat="1" ht="28.8">
      <c r="A19" s="548" t="s">
        <v>1479</v>
      </c>
      <c r="B19" s="551" t="s">
        <v>889</v>
      </c>
      <c r="C19" s="547"/>
      <c r="D19" s="547"/>
      <c r="E19" s="547"/>
      <c r="F19" s="576"/>
    </row>
    <row r="20" spans="1:7" s="504" customFormat="1">
      <c r="A20" s="548"/>
      <c r="B20" s="551" t="s">
        <v>890</v>
      </c>
      <c r="C20" s="547"/>
      <c r="D20" s="547"/>
      <c r="E20" s="547"/>
      <c r="F20" s="576"/>
    </row>
    <row r="21" spans="1:7" s="504" customFormat="1">
      <c r="A21" s="548" t="s">
        <v>1480</v>
      </c>
      <c r="B21" s="549" t="s">
        <v>891</v>
      </c>
      <c r="C21" s="547" t="s">
        <v>892</v>
      </c>
      <c r="D21" s="547">
        <f>CEILING((((52.5+16.8+18)/0.2+1)*(0.5)+(3*(52.5+16.8+18)*1.15))*0.395,1)</f>
        <v>206</v>
      </c>
      <c r="E21" s="547"/>
      <c r="F21" s="576"/>
    </row>
    <row r="22" spans="1:7" s="504" customFormat="1">
      <c r="A22" s="548" t="s">
        <v>1481</v>
      </c>
      <c r="B22" s="549" t="s">
        <v>1015</v>
      </c>
      <c r="C22" s="547" t="s">
        <v>892</v>
      </c>
      <c r="D22" s="547">
        <f>CEILING(((52.5+16.8+18)/0.2+1)*(0.7)*0.617,1)</f>
        <v>189</v>
      </c>
      <c r="E22" s="547"/>
      <c r="F22" s="576"/>
    </row>
    <row r="23" spans="1:7" s="504" customFormat="1">
      <c r="A23" s="548" t="s">
        <v>1482</v>
      </c>
      <c r="B23" s="549" t="s">
        <v>893</v>
      </c>
      <c r="C23" s="547" t="s">
        <v>892</v>
      </c>
      <c r="D23" s="547">
        <f>CEILING((4*(52.5+16.8+18)*1.15)*0.888,1)</f>
        <v>357</v>
      </c>
      <c r="E23" s="547"/>
      <c r="F23" s="576"/>
    </row>
    <row r="24" spans="1:7" s="504" customFormat="1">
      <c r="A24" s="548"/>
      <c r="B24" s="549"/>
      <c r="C24" s="547"/>
      <c r="D24" s="547"/>
      <c r="E24" s="547"/>
      <c r="F24" s="576"/>
    </row>
    <row r="25" spans="1:7" s="504" customFormat="1">
      <c r="A25" s="545"/>
      <c r="B25" s="546" t="s">
        <v>894</v>
      </c>
      <c r="C25" s="547"/>
      <c r="D25" s="547"/>
      <c r="E25" s="547"/>
      <c r="F25" s="576"/>
    </row>
    <row r="26" spans="1:7" s="504" customFormat="1" ht="16.2">
      <c r="A26" s="548" t="s">
        <v>1483</v>
      </c>
      <c r="B26" s="549" t="s">
        <v>1447</v>
      </c>
      <c r="C26" s="547" t="s">
        <v>500</v>
      </c>
      <c r="D26" s="547">
        <f>CEILING((52.5+16.8+18)*2*0.2,1)</f>
        <v>35</v>
      </c>
      <c r="E26" s="547"/>
      <c r="F26" s="576"/>
    </row>
    <row r="27" spans="1:7" s="504" customFormat="1">
      <c r="A27" s="548" t="s">
        <v>1484</v>
      </c>
      <c r="B27" s="549" t="s">
        <v>984</v>
      </c>
      <c r="C27" s="547" t="s">
        <v>325</v>
      </c>
      <c r="D27" s="547">
        <f>CEILING(0.3*4*4.6*6,1)</f>
        <v>34</v>
      </c>
      <c r="E27" s="547"/>
      <c r="F27" s="576"/>
    </row>
    <row r="28" spans="1:7" s="504" customFormat="1">
      <c r="A28" s="1102"/>
      <c r="B28" s="1062"/>
      <c r="C28" s="1103"/>
      <c r="D28" s="1103"/>
      <c r="E28" s="1104"/>
      <c r="F28" s="1065"/>
    </row>
    <row r="29" spans="1:7" s="931" customFormat="1">
      <c r="A29" s="991"/>
      <c r="B29" s="546" t="s">
        <v>897</v>
      </c>
      <c r="C29" s="547"/>
      <c r="D29" s="547"/>
      <c r="E29" s="547"/>
      <c r="F29" s="576"/>
    </row>
    <row r="30" spans="1:7" s="931" customFormat="1" ht="115.2">
      <c r="A30" s="548"/>
      <c r="B30" s="865" t="s">
        <v>898</v>
      </c>
      <c r="C30" s="547"/>
      <c r="D30" s="547"/>
      <c r="E30" s="547"/>
      <c r="F30" s="576"/>
    </row>
    <row r="31" spans="1:7" s="872" customFormat="1" ht="16.2">
      <c r="A31" s="991" t="s">
        <v>1486</v>
      </c>
      <c r="B31" s="863" t="s">
        <v>899</v>
      </c>
      <c r="C31" s="547" t="s">
        <v>500</v>
      </c>
      <c r="D31" s="547">
        <f>CEILING((52.5+16.8+18)*1.2,1)</f>
        <v>105</v>
      </c>
      <c r="E31" s="547"/>
      <c r="F31" s="576"/>
      <c r="G31" s="871"/>
    </row>
    <row r="32" spans="1:7" s="504" customFormat="1">
      <c r="A32" s="1102"/>
      <c r="B32" s="1062"/>
      <c r="C32" s="1103"/>
      <c r="D32" s="1103"/>
      <c r="E32" s="1104"/>
      <c r="F32" s="1065"/>
    </row>
    <row r="33" spans="1:6">
      <c r="A33" s="602"/>
      <c r="B33" s="596" t="s">
        <v>699</v>
      </c>
      <c r="C33" s="604"/>
      <c r="D33" s="604"/>
      <c r="E33" s="599"/>
      <c r="F33" s="609"/>
    </row>
    <row r="34" spans="1:6" ht="28.8">
      <c r="A34" s="602" t="s">
        <v>1487</v>
      </c>
      <c r="B34" s="607" t="s">
        <v>700</v>
      </c>
      <c r="C34" s="604" t="s">
        <v>465</v>
      </c>
      <c r="D34" s="604">
        <f>D9</f>
        <v>113</v>
      </c>
      <c r="E34" s="599"/>
      <c r="F34" s="605"/>
    </row>
    <row r="35" spans="1:6" ht="28.8">
      <c r="A35" s="602" t="s">
        <v>1488</v>
      </c>
      <c r="B35" s="607" t="s">
        <v>701</v>
      </c>
      <c r="C35" s="604" t="s">
        <v>465</v>
      </c>
      <c r="D35" s="604">
        <f>D34</f>
        <v>113</v>
      </c>
      <c r="E35" s="599"/>
      <c r="F35" s="605"/>
    </row>
    <row r="36" spans="1:6">
      <c r="A36" s="602"/>
      <c r="B36" s="596" t="s">
        <v>307</v>
      </c>
      <c r="C36" s="603"/>
      <c r="D36" s="604"/>
      <c r="E36" s="599"/>
      <c r="F36" s="605"/>
    </row>
    <row r="37" spans="1:6" ht="43.2">
      <c r="A37" s="602" t="s">
        <v>1488</v>
      </c>
      <c r="B37" s="607" t="s">
        <v>690</v>
      </c>
      <c r="C37" s="604" t="s">
        <v>465</v>
      </c>
      <c r="D37" s="604">
        <f>D34</f>
        <v>113</v>
      </c>
      <c r="E37" s="599"/>
      <c r="F37" s="605"/>
    </row>
    <row r="38" spans="1:6">
      <c r="A38" s="602"/>
      <c r="B38" s="596" t="s">
        <v>295</v>
      </c>
      <c r="C38" s="603"/>
      <c r="D38" s="604"/>
      <c r="E38" s="599"/>
      <c r="F38" s="605"/>
    </row>
    <row r="39" spans="1:6" ht="43.2">
      <c r="A39" s="602" t="s">
        <v>1489</v>
      </c>
      <c r="B39" s="607" t="s">
        <v>702</v>
      </c>
      <c r="C39" s="604" t="s">
        <v>465</v>
      </c>
      <c r="D39" s="604">
        <f>D34</f>
        <v>113</v>
      </c>
      <c r="E39" s="599"/>
      <c r="F39" s="605"/>
    </row>
    <row r="40" spans="1:6" s="504" customFormat="1">
      <c r="A40" s="1102"/>
      <c r="B40" s="1062"/>
      <c r="C40" s="1103"/>
      <c r="D40" s="1103"/>
      <c r="E40" s="1104"/>
      <c r="F40" s="1065"/>
    </row>
    <row r="41" spans="1:6" s="504" customFormat="1">
      <c r="A41" s="1121" t="s">
        <v>260</v>
      </c>
      <c r="B41" s="1122" t="s">
        <v>13</v>
      </c>
      <c r="C41" s="1123" t="s">
        <v>330</v>
      </c>
      <c r="D41" s="1124" t="s">
        <v>331</v>
      </c>
      <c r="E41" s="1125" t="s">
        <v>332</v>
      </c>
      <c r="F41" s="1126"/>
    </row>
    <row r="42" spans="1:6">
      <c r="A42" s="602"/>
      <c r="B42" s="596" t="s">
        <v>471</v>
      </c>
      <c r="C42" s="603"/>
      <c r="D42" s="604"/>
      <c r="E42" s="599"/>
      <c r="F42" s="605"/>
    </row>
    <row r="43" spans="1:6">
      <c r="A43" s="602" t="s">
        <v>1490</v>
      </c>
      <c r="B43" s="607" t="s">
        <v>478</v>
      </c>
      <c r="C43" s="604" t="s">
        <v>472</v>
      </c>
      <c r="D43" s="604">
        <v>50</v>
      </c>
      <c r="E43" s="599"/>
      <c r="F43" s="605"/>
    </row>
    <row r="44" spans="1:6">
      <c r="A44" s="602"/>
      <c r="B44" s="596" t="s">
        <v>479</v>
      </c>
      <c r="C44" s="604"/>
      <c r="D44" s="604"/>
      <c r="E44" s="599"/>
      <c r="F44" s="605"/>
    </row>
    <row r="45" spans="1:6" ht="28.8">
      <c r="A45" s="602" t="s">
        <v>1491</v>
      </c>
      <c r="B45" s="607" t="s">
        <v>480</v>
      </c>
      <c r="C45" s="604" t="s">
        <v>465</v>
      </c>
      <c r="D45" s="604">
        <f>D39</f>
        <v>113</v>
      </c>
      <c r="E45" s="599"/>
      <c r="F45" s="605"/>
    </row>
    <row r="46" spans="1:6">
      <c r="A46" s="602"/>
      <c r="B46" s="606" t="s">
        <v>481</v>
      </c>
      <c r="C46" s="603"/>
      <c r="D46" s="604"/>
      <c r="E46" s="599"/>
      <c r="F46" s="605"/>
    </row>
    <row r="47" spans="1:6" ht="28.8">
      <c r="A47" s="602"/>
      <c r="B47" s="610" t="s">
        <v>341</v>
      </c>
      <c r="C47" s="603"/>
      <c r="D47" s="604"/>
      <c r="E47" s="599"/>
      <c r="F47" s="605"/>
    </row>
    <row r="48" spans="1:6" ht="16.2">
      <c r="A48" s="602" t="s">
        <v>1492</v>
      </c>
      <c r="B48" s="607" t="s">
        <v>482</v>
      </c>
      <c r="C48" s="604" t="s">
        <v>689</v>
      </c>
      <c r="D48" s="604">
        <f>CEILING(D39*0.15,1)</f>
        <v>17</v>
      </c>
      <c r="E48" s="599"/>
      <c r="F48" s="605"/>
    </row>
    <row r="49" spans="1:8">
      <c r="A49" s="602"/>
      <c r="B49" s="596" t="s">
        <v>483</v>
      </c>
      <c r="C49" s="591"/>
      <c r="D49" s="592"/>
      <c r="E49" s="593"/>
      <c r="F49" s="594"/>
    </row>
    <row r="50" spans="1:8">
      <c r="A50" s="602"/>
      <c r="B50" s="610" t="s">
        <v>484</v>
      </c>
      <c r="C50" s="603"/>
      <c r="D50" s="611"/>
      <c r="E50" s="599"/>
      <c r="F50" s="612"/>
    </row>
    <row r="51" spans="1:8">
      <c r="A51" s="602" t="s">
        <v>1493</v>
      </c>
      <c r="B51" s="607" t="s">
        <v>485</v>
      </c>
      <c r="C51" s="604" t="s">
        <v>8</v>
      </c>
      <c r="D51" s="611">
        <f>D45</f>
        <v>113</v>
      </c>
      <c r="E51" s="599"/>
      <c r="F51" s="612"/>
    </row>
    <row r="52" spans="1:8">
      <c r="A52" s="613"/>
      <c r="B52" s="607"/>
      <c r="C52" s="604"/>
      <c r="D52" s="611"/>
      <c r="E52" s="599"/>
      <c r="F52" s="612"/>
    </row>
    <row r="53" spans="1:8" ht="15.6">
      <c r="A53" s="614"/>
      <c r="B53" s="694" t="s">
        <v>694</v>
      </c>
      <c r="C53" s="615"/>
      <c r="D53" s="615"/>
      <c r="E53" s="616"/>
      <c r="F53" s="617"/>
    </row>
    <row r="54" spans="1:8" s="504" customFormat="1">
      <c r="A54" s="1127"/>
      <c r="B54" s="1128"/>
      <c r="C54" s="1129"/>
      <c r="D54" s="1129"/>
      <c r="E54" s="1130"/>
      <c r="F54" s="1131"/>
    </row>
    <row r="55" spans="1:8" s="938" customFormat="1">
      <c r="A55" s="933">
        <v>10.199999999999999</v>
      </c>
      <c r="B55" s="885" t="s">
        <v>1099</v>
      </c>
      <c r="C55" s="874"/>
      <c r="D55" s="880"/>
      <c r="E55" s="875"/>
      <c r="F55" s="934"/>
      <c r="G55" s="937"/>
    </row>
    <row r="56" spans="1:8" s="938" customFormat="1">
      <c r="A56" s="939"/>
      <c r="B56" s="887"/>
      <c r="C56" s="874"/>
      <c r="D56" s="880"/>
      <c r="E56" s="875"/>
      <c r="F56" s="934"/>
      <c r="G56" s="937"/>
    </row>
    <row r="57" spans="1:8" s="932" customFormat="1">
      <c r="A57" s="915"/>
      <c r="B57" s="865" t="s">
        <v>1100</v>
      </c>
      <c r="C57" s="858"/>
      <c r="D57" s="860"/>
      <c r="E57" s="858"/>
      <c r="F57" s="916"/>
    </row>
    <row r="58" spans="1:8" s="938" customFormat="1">
      <c r="A58" s="919" t="s">
        <v>1467</v>
      </c>
      <c r="B58" s="920" t="s">
        <v>1101</v>
      </c>
      <c r="C58" s="921" t="s">
        <v>282</v>
      </c>
      <c r="D58" s="859">
        <f>CEILING((52.5+16.8+18)*0.4*0.4,1)</f>
        <v>14</v>
      </c>
      <c r="E58" s="921"/>
      <c r="F58" s="922"/>
      <c r="H58" s="938">
        <f>(174.3*0.4*0.45)+(92.15*0.4*0.45)</f>
        <v>47.961000000000013</v>
      </c>
    </row>
    <row r="59" spans="1:8" s="932" customFormat="1" ht="17.399999999999999" customHeight="1">
      <c r="A59" s="915"/>
      <c r="B59" s="865" t="s">
        <v>534</v>
      </c>
      <c r="C59" s="858"/>
      <c r="D59" s="860"/>
      <c r="E59" s="858"/>
      <c r="F59" s="916"/>
    </row>
    <row r="60" spans="1:8" s="932" customFormat="1">
      <c r="A60" s="915"/>
      <c r="B60" s="865" t="s">
        <v>535</v>
      </c>
      <c r="C60" s="858"/>
      <c r="D60" s="860"/>
      <c r="E60" s="858"/>
      <c r="F60" s="916"/>
    </row>
    <row r="61" spans="1:8" s="932" customFormat="1">
      <c r="A61" s="915" t="s">
        <v>1494</v>
      </c>
      <c r="B61" s="863" t="s">
        <v>1102</v>
      </c>
      <c r="C61" s="858" t="s">
        <v>287</v>
      </c>
      <c r="D61" s="860">
        <f>CEILING((((52.5+16.8+18)/0.2+1)*0.5)*0.395,1)</f>
        <v>87</v>
      </c>
      <c r="E61" s="858"/>
      <c r="F61" s="916"/>
      <c r="G61" s="932">
        <f>D61*110</f>
        <v>9570</v>
      </c>
    </row>
    <row r="62" spans="1:8" s="932" customFormat="1">
      <c r="A62" s="915" t="s">
        <v>1468</v>
      </c>
      <c r="B62" s="863" t="s">
        <v>1103</v>
      </c>
      <c r="C62" s="858" t="s">
        <v>287</v>
      </c>
      <c r="D62" s="860">
        <f>CEILING((52.5+16.8+18)*4*1.15*0.888,1)</f>
        <v>357</v>
      </c>
      <c r="E62" s="858"/>
      <c r="F62" s="916"/>
    </row>
    <row r="63" spans="1:8" s="932" customFormat="1">
      <c r="A63" s="915"/>
      <c r="B63" s="852" t="s">
        <v>1104</v>
      </c>
      <c r="C63" s="858"/>
      <c r="D63" s="860"/>
      <c r="E63" s="858"/>
      <c r="F63" s="916"/>
    </row>
    <row r="64" spans="1:8" s="932" customFormat="1">
      <c r="A64" s="915" t="s">
        <v>1469</v>
      </c>
      <c r="B64" s="863" t="s">
        <v>1105</v>
      </c>
      <c r="C64" s="858" t="s">
        <v>8</v>
      </c>
      <c r="D64" s="859">
        <f>CEILING((52.5+16.8+18)*0.3*2+(52.5+16.8+18)*0.2,1)</f>
        <v>70</v>
      </c>
      <c r="E64" s="858"/>
      <c r="F64" s="916"/>
    </row>
    <row r="65" spans="1:198" s="1071" customFormat="1">
      <c r="A65" s="1068"/>
      <c r="B65" s="1062"/>
      <c r="C65" s="1069"/>
      <c r="D65" s="1063"/>
      <c r="E65" s="1069"/>
      <c r="F65" s="1070"/>
    </row>
    <row r="66" spans="1:198" s="940" customFormat="1" ht="15.6">
      <c r="A66" s="923"/>
      <c r="B66" s="694" t="s">
        <v>694</v>
      </c>
      <c r="C66" s="924"/>
      <c r="D66" s="869"/>
      <c r="E66" s="924"/>
      <c r="F66" s="925"/>
    </row>
    <row r="67" spans="1:198" s="940" customFormat="1">
      <c r="A67" s="923"/>
      <c r="B67" s="862"/>
      <c r="C67" s="924"/>
      <c r="D67" s="869"/>
      <c r="E67" s="924"/>
      <c r="F67" s="926"/>
    </row>
    <row r="68" spans="1:198" s="932" customFormat="1">
      <c r="A68" s="927">
        <v>10.3</v>
      </c>
      <c r="B68" s="852" t="s">
        <v>1107</v>
      </c>
      <c r="C68" s="858"/>
      <c r="D68" s="860"/>
      <c r="E68" s="858"/>
      <c r="F68" s="916"/>
    </row>
    <row r="69" spans="1:198" s="932" customFormat="1">
      <c r="A69" s="915"/>
      <c r="B69" s="865" t="s">
        <v>1108</v>
      </c>
      <c r="C69" s="858"/>
      <c r="D69" s="860"/>
      <c r="E69" s="858"/>
      <c r="F69" s="916"/>
    </row>
    <row r="70" spans="1:198" s="932" customFormat="1" ht="57.6">
      <c r="A70" s="915"/>
      <c r="B70" s="928" t="s">
        <v>1376</v>
      </c>
      <c r="C70" s="858"/>
      <c r="D70" s="860"/>
      <c r="E70" s="858"/>
      <c r="F70" s="916"/>
    </row>
    <row r="71" spans="1:198" s="932" customFormat="1">
      <c r="A71" s="915"/>
      <c r="B71" s="865"/>
      <c r="C71" s="858"/>
      <c r="D71" s="860"/>
      <c r="E71" s="858"/>
      <c r="F71" s="916"/>
    </row>
    <row r="72" spans="1:198" s="932" customFormat="1">
      <c r="A72" s="915" t="s">
        <v>1470</v>
      </c>
      <c r="B72" s="863" t="s">
        <v>1248</v>
      </c>
      <c r="C72" s="858" t="s">
        <v>8</v>
      </c>
      <c r="D72" s="941">
        <f>CEILING((52.5+16.8+18)*3,1)</f>
        <v>262</v>
      </c>
      <c r="E72" s="858"/>
      <c r="F72" s="916"/>
    </row>
    <row r="73" spans="1:198" s="932" customFormat="1">
      <c r="A73" s="915"/>
      <c r="B73" s="865" t="s">
        <v>1109</v>
      </c>
      <c r="C73" s="858"/>
      <c r="D73" s="860"/>
      <c r="E73" s="858"/>
      <c r="F73" s="916"/>
    </row>
    <row r="74" spans="1:198" s="932" customFormat="1">
      <c r="A74" s="915" t="s">
        <v>1471</v>
      </c>
      <c r="B74" s="863" t="s">
        <v>1110</v>
      </c>
      <c r="C74" s="858" t="s">
        <v>9</v>
      </c>
      <c r="D74" s="941">
        <f>(52.5+16.8+18)</f>
        <v>87.3</v>
      </c>
      <c r="E74" s="858"/>
      <c r="F74" s="916"/>
    </row>
    <row r="75" spans="1:198" s="932" customFormat="1">
      <c r="A75" s="915"/>
      <c r="B75" s="863"/>
      <c r="C75" s="858"/>
      <c r="D75" s="860"/>
      <c r="E75" s="858"/>
      <c r="F75" s="916"/>
    </row>
    <row r="76" spans="1:198" s="932" customFormat="1" ht="15.6">
      <c r="A76" s="915"/>
      <c r="B76" s="694" t="s">
        <v>694</v>
      </c>
      <c r="C76" s="924"/>
      <c r="D76" s="860"/>
      <c r="E76" s="858"/>
      <c r="F76" s="925"/>
    </row>
    <row r="77" spans="1:198" s="76" customFormat="1">
      <c r="A77" s="619"/>
      <c r="B77" s="620"/>
      <c r="C77" s="621"/>
      <c r="D77" s="622"/>
      <c r="E77" s="623"/>
      <c r="F77" s="624"/>
      <c r="G77" s="75"/>
    </row>
    <row r="78" spans="1:198" s="171" customFormat="1" ht="15.6">
      <c r="A78" s="927">
        <v>10.4</v>
      </c>
      <c r="B78" s="852" t="s">
        <v>1502</v>
      </c>
      <c r="C78" s="632"/>
      <c r="D78" s="632"/>
      <c r="E78" s="633"/>
      <c r="F78" s="634"/>
      <c r="G78" s="169"/>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0"/>
      <c r="BE78" s="170"/>
      <c r="BF78" s="170"/>
      <c r="BG78" s="170"/>
      <c r="BH78" s="170"/>
      <c r="BI78" s="170"/>
      <c r="BJ78" s="170"/>
      <c r="BK78" s="170"/>
      <c r="BL78" s="170"/>
      <c r="BM78" s="170"/>
      <c r="BN78" s="170"/>
      <c r="BO78" s="170"/>
      <c r="BP78" s="170"/>
      <c r="BQ78" s="170"/>
      <c r="BR78" s="170"/>
      <c r="BS78" s="170"/>
      <c r="BT78" s="170"/>
      <c r="BU78" s="170"/>
      <c r="BV78" s="170"/>
      <c r="BW78" s="170"/>
      <c r="BX78" s="170"/>
      <c r="BY78" s="170"/>
      <c r="BZ78" s="170"/>
      <c r="CA78" s="170"/>
      <c r="CB78" s="170"/>
      <c r="CC78" s="170"/>
      <c r="CD78" s="170"/>
      <c r="CE78" s="170"/>
      <c r="CF78" s="170"/>
      <c r="CG78" s="170"/>
      <c r="CH78" s="170"/>
      <c r="CI78" s="170"/>
      <c r="CJ78" s="170"/>
      <c r="CK78" s="170"/>
      <c r="CL78" s="170"/>
      <c r="CM78" s="170"/>
      <c r="CN78" s="170"/>
      <c r="CO78" s="170"/>
      <c r="CP78" s="170"/>
      <c r="CQ78" s="170"/>
      <c r="CR78" s="170"/>
      <c r="CS78" s="170"/>
      <c r="CT78" s="170"/>
      <c r="CU78" s="170"/>
      <c r="CV78" s="170"/>
      <c r="CW78" s="170"/>
      <c r="CX78" s="170"/>
      <c r="CY78" s="170"/>
      <c r="CZ78" s="170"/>
      <c r="DA78" s="170"/>
      <c r="DB78" s="170"/>
      <c r="DC78" s="170"/>
      <c r="DD78" s="170"/>
      <c r="DE78" s="170"/>
      <c r="DF78" s="170"/>
      <c r="DG78" s="170"/>
      <c r="DH78" s="170"/>
      <c r="DI78" s="170"/>
      <c r="DJ78" s="170"/>
      <c r="DK78" s="170"/>
      <c r="DL78" s="170"/>
      <c r="DM78" s="170"/>
      <c r="DN78" s="170"/>
      <c r="DO78" s="170"/>
      <c r="DP78" s="170"/>
      <c r="DQ78" s="170"/>
      <c r="DR78" s="170"/>
      <c r="DS78" s="170"/>
      <c r="DT78" s="170"/>
      <c r="DU78" s="170"/>
      <c r="DV78" s="170"/>
      <c r="DW78" s="170"/>
      <c r="DX78" s="170"/>
      <c r="DY78" s="170"/>
      <c r="DZ78" s="170"/>
      <c r="EA78" s="170"/>
      <c r="EB78" s="170"/>
      <c r="EC78" s="170"/>
      <c r="ED78" s="170"/>
      <c r="EE78" s="170"/>
      <c r="EF78" s="170"/>
      <c r="EG78" s="170"/>
      <c r="EH78" s="170"/>
      <c r="EI78" s="170"/>
      <c r="EJ78" s="170"/>
      <c r="EK78" s="170"/>
      <c r="EL78" s="170"/>
      <c r="EM78" s="170"/>
      <c r="EN78" s="170"/>
      <c r="EO78" s="170"/>
      <c r="EP78" s="170"/>
      <c r="EQ78" s="170"/>
      <c r="ER78" s="170"/>
      <c r="ES78" s="170"/>
      <c r="ET78" s="170"/>
      <c r="EU78" s="170"/>
      <c r="EV78" s="170"/>
      <c r="EW78" s="170"/>
      <c r="EX78" s="170"/>
      <c r="EY78" s="170"/>
      <c r="EZ78" s="170"/>
      <c r="FA78" s="170"/>
      <c r="FB78" s="170"/>
      <c r="FC78" s="170"/>
      <c r="FD78" s="170"/>
      <c r="FE78" s="170"/>
      <c r="FF78" s="170"/>
      <c r="FG78" s="170"/>
      <c r="FH78" s="170"/>
      <c r="FI78" s="170"/>
      <c r="FJ78" s="170"/>
      <c r="FK78" s="170"/>
      <c r="FL78" s="170"/>
      <c r="FM78" s="170"/>
      <c r="FN78" s="170"/>
      <c r="FO78" s="170"/>
      <c r="FP78" s="170"/>
      <c r="FQ78" s="170"/>
      <c r="FR78" s="170"/>
      <c r="FS78" s="170"/>
      <c r="FT78" s="170"/>
      <c r="FU78" s="170"/>
      <c r="FV78" s="170"/>
      <c r="FW78" s="170"/>
      <c r="FX78" s="170"/>
      <c r="FY78" s="170"/>
      <c r="FZ78" s="170"/>
      <c r="GA78" s="170"/>
      <c r="GB78" s="170"/>
      <c r="GC78" s="170"/>
      <c r="GD78" s="170"/>
      <c r="GE78" s="170"/>
      <c r="GF78" s="170"/>
      <c r="GG78" s="170"/>
      <c r="GH78" s="170"/>
      <c r="GI78" s="170"/>
      <c r="GJ78" s="170"/>
      <c r="GK78" s="170"/>
      <c r="GL78" s="170"/>
      <c r="GM78" s="170"/>
      <c r="GN78" s="170"/>
      <c r="GO78" s="170"/>
      <c r="GP78" s="170"/>
    </row>
    <row r="79" spans="1:198" s="161" customFormat="1" ht="15.6">
      <c r="A79" s="630"/>
      <c r="B79" s="632" t="s">
        <v>767</v>
      </c>
      <c r="C79" s="631"/>
      <c r="D79" s="631"/>
      <c r="E79" s="627"/>
      <c r="F79" s="628"/>
      <c r="G79" s="159"/>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0"/>
      <c r="CJ79" s="160"/>
      <c r="CK79" s="160"/>
      <c r="CL79" s="160"/>
      <c r="CM79" s="160"/>
      <c r="CN79" s="160"/>
      <c r="CO79" s="160"/>
      <c r="CP79" s="160"/>
      <c r="CQ79" s="160"/>
      <c r="CR79" s="160"/>
      <c r="CS79" s="160"/>
      <c r="CT79" s="160"/>
      <c r="CU79" s="160"/>
      <c r="CV79" s="160"/>
      <c r="CW79" s="160"/>
      <c r="CX79" s="160"/>
      <c r="CY79" s="160"/>
      <c r="CZ79" s="160"/>
      <c r="DA79" s="160"/>
      <c r="DB79" s="160"/>
      <c r="DC79" s="160"/>
      <c r="DD79" s="160"/>
      <c r="DE79" s="160"/>
      <c r="DF79" s="160"/>
      <c r="DG79" s="160"/>
      <c r="DH79" s="160"/>
      <c r="DI79" s="160"/>
      <c r="DJ79" s="160"/>
      <c r="DK79" s="160"/>
      <c r="DL79" s="160"/>
      <c r="DM79" s="160"/>
      <c r="DN79" s="160"/>
      <c r="DO79" s="160"/>
      <c r="DP79" s="160"/>
      <c r="DQ79" s="160"/>
      <c r="DR79" s="160"/>
      <c r="DS79" s="160"/>
      <c r="DT79" s="160"/>
      <c r="DU79" s="160"/>
      <c r="DV79" s="160"/>
      <c r="DW79" s="160"/>
      <c r="DX79" s="160"/>
      <c r="DY79" s="160"/>
      <c r="DZ79" s="160"/>
      <c r="EA79" s="160"/>
      <c r="EB79" s="160"/>
      <c r="EC79" s="160"/>
      <c r="ED79" s="160"/>
      <c r="EE79" s="160"/>
      <c r="EF79" s="160"/>
      <c r="EG79" s="160"/>
      <c r="EH79" s="160"/>
      <c r="EI79" s="160"/>
      <c r="EJ79" s="160"/>
      <c r="EK79" s="160"/>
      <c r="EL79" s="160"/>
      <c r="EM79" s="160"/>
      <c r="EN79" s="160"/>
      <c r="EO79" s="160"/>
      <c r="EP79" s="160"/>
      <c r="EQ79" s="160"/>
      <c r="ER79" s="160"/>
      <c r="ES79" s="160"/>
      <c r="ET79" s="160"/>
      <c r="EU79" s="160"/>
      <c r="EV79" s="160"/>
      <c r="EW79" s="160"/>
      <c r="EX79" s="160"/>
      <c r="EY79" s="160"/>
      <c r="EZ79" s="160"/>
      <c r="FA79" s="160"/>
      <c r="FB79" s="160"/>
      <c r="FC79" s="160"/>
      <c r="FD79" s="160"/>
      <c r="FE79" s="160"/>
      <c r="FF79" s="160"/>
      <c r="FG79" s="160"/>
      <c r="FH79" s="160"/>
      <c r="FI79" s="160"/>
      <c r="FJ79" s="160"/>
      <c r="FK79" s="160"/>
      <c r="FL79" s="160"/>
      <c r="FM79" s="160"/>
      <c r="FN79" s="160"/>
      <c r="FO79" s="160"/>
      <c r="FP79" s="160"/>
      <c r="FQ79" s="160"/>
      <c r="FR79" s="160"/>
      <c r="FS79" s="160"/>
      <c r="FT79" s="160"/>
      <c r="FU79" s="160"/>
      <c r="FV79" s="160"/>
      <c r="FW79" s="160"/>
      <c r="FX79" s="160"/>
      <c r="FY79" s="160"/>
      <c r="FZ79" s="160"/>
      <c r="GA79" s="160"/>
      <c r="GB79" s="160"/>
      <c r="GC79" s="160"/>
      <c r="GD79" s="160"/>
      <c r="GE79" s="160"/>
      <c r="GF79" s="160"/>
      <c r="GG79" s="160"/>
      <c r="GH79" s="160"/>
      <c r="GI79" s="160"/>
      <c r="GJ79" s="160"/>
      <c r="GK79" s="160"/>
      <c r="GL79" s="160"/>
      <c r="GM79" s="160"/>
      <c r="GN79" s="160"/>
      <c r="GO79" s="160"/>
      <c r="GP79" s="160"/>
    </row>
    <row r="80" spans="1:198" s="176" customFormat="1" ht="31.2">
      <c r="A80" s="630"/>
      <c r="B80" s="629" t="s">
        <v>607</v>
      </c>
      <c r="C80" s="635" t="s">
        <v>11</v>
      </c>
      <c r="D80" s="635"/>
      <c r="E80" s="635"/>
      <c r="F80" s="636"/>
      <c r="G80" s="175"/>
    </row>
    <row r="81" spans="1:198" s="161" customFormat="1" ht="31.2">
      <c r="A81" s="630" t="s">
        <v>1472</v>
      </c>
      <c r="B81" s="631" t="s">
        <v>608</v>
      </c>
      <c r="C81" s="631" t="s">
        <v>8</v>
      </c>
      <c r="D81" s="627">
        <f>CEILING((52.5+16.8+18)*1.15,1)</f>
        <v>101</v>
      </c>
      <c r="E81" s="627"/>
      <c r="F81" s="628"/>
      <c r="G81" s="159"/>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0"/>
      <c r="BG81" s="160"/>
      <c r="BH81" s="160"/>
      <c r="BI81" s="160"/>
      <c r="BJ81" s="160"/>
      <c r="BK81" s="160"/>
      <c r="BL81" s="160"/>
      <c r="BM81" s="160"/>
      <c r="BN81" s="160"/>
      <c r="BO81" s="160"/>
      <c r="BP81" s="160"/>
      <c r="BQ81" s="160"/>
      <c r="BR81" s="160"/>
      <c r="BS81" s="160"/>
      <c r="BT81" s="160"/>
      <c r="BU81" s="160"/>
      <c r="BV81" s="160"/>
      <c r="BW81" s="160"/>
      <c r="BX81" s="160"/>
      <c r="BY81" s="160"/>
      <c r="BZ81" s="160"/>
      <c r="CA81" s="160"/>
      <c r="CB81" s="160"/>
      <c r="CC81" s="160"/>
      <c r="CD81" s="160"/>
      <c r="CE81" s="160"/>
      <c r="CF81" s="160"/>
      <c r="CG81" s="160"/>
      <c r="CH81" s="160"/>
      <c r="CI81" s="160"/>
      <c r="CJ81" s="160"/>
      <c r="CK81" s="160"/>
      <c r="CL81" s="160"/>
      <c r="CM81" s="160"/>
      <c r="CN81" s="160"/>
      <c r="CO81" s="160"/>
      <c r="CP81" s="160"/>
      <c r="CQ81" s="160"/>
      <c r="CR81" s="160"/>
      <c r="CS81" s="160"/>
      <c r="CT81" s="160"/>
      <c r="CU81" s="160"/>
      <c r="CV81" s="160"/>
      <c r="CW81" s="160"/>
      <c r="CX81" s="160"/>
      <c r="CY81" s="160"/>
      <c r="CZ81" s="160"/>
      <c r="DA81" s="160"/>
      <c r="DB81" s="160"/>
      <c r="DC81" s="160"/>
      <c r="DD81" s="160"/>
      <c r="DE81" s="160"/>
      <c r="DF81" s="160"/>
      <c r="DG81" s="160"/>
      <c r="DH81" s="160"/>
      <c r="DI81" s="160"/>
      <c r="DJ81" s="160"/>
      <c r="DK81" s="160"/>
      <c r="DL81" s="160"/>
      <c r="DM81" s="160"/>
      <c r="DN81" s="160"/>
      <c r="DO81" s="160"/>
      <c r="DP81" s="160"/>
      <c r="DQ81" s="160"/>
      <c r="DR81" s="160"/>
      <c r="DS81" s="160"/>
      <c r="DT81" s="160"/>
      <c r="DU81" s="160"/>
      <c r="DV81" s="160"/>
      <c r="DW81" s="160"/>
      <c r="DX81" s="160"/>
      <c r="DY81" s="160"/>
      <c r="DZ81" s="160"/>
      <c r="EA81" s="160"/>
      <c r="EB81" s="160"/>
      <c r="EC81" s="160"/>
      <c r="ED81" s="160"/>
      <c r="EE81" s="160"/>
      <c r="EF81" s="160"/>
      <c r="EG81" s="160"/>
      <c r="EH81" s="160"/>
      <c r="EI81" s="160"/>
      <c r="EJ81" s="160"/>
      <c r="EK81" s="160"/>
      <c r="EL81" s="160"/>
      <c r="EM81" s="160"/>
      <c r="EN81" s="160"/>
      <c r="EO81" s="160"/>
      <c r="EP81" s="160"/>
      <c r="EQ81" s="160"/>
      <c r="ER81" s="160"/>
      <c r="ES81" s="160"/>
      <c r="ET81" s="160"/>
      <c r="EU81" s="160"/>
      <c r="EV81" s="160"/>
      <c r="EW81" s="160"/>
      <c r="EX81" s="160"/>
      <c r="EY81" s="160"/>
      <c r="EZ81" s="160"/>
      <c r="FA81" s="160"/>
      <c r="FB81" s="160"/>
      <c r="FC81" s="160"/>
      <c r="FD81" s="160"/>
      <c r="FE81" s="160"/>
      <c r="FF81" s="160"/>
      <c r="FG81" s="160"/>
      <c r="FH81" s="160"/>
      <c r="FI81" s="160"/>
      <c r="FJ81" s="160"/>
      <c r="FK81" s="160"/>
      <c r="FL81" s="160"/>
      <c r="FM81" s="160"/>
      <c r="FN81" s="160"/>
      <c r="FO81" s="160"/>
      <c r="FP81" s="160"/>
      <c r="FQ81" s="160"/>
      <c r="FR81" s="160"/>
      <c r="FS81" s="160"/>
      <c r="FT81" s="160"/>
      <c r="FU81" s="160"/>
      <c r="FV81" s="160"/>
      <c r="FW81" s="160"/>
      <c r="FX81" s="160"/>
      <c r="FY81" s="160"/>
      <c r="FZ81" s="160"/>
      <c r="GA81" s="160"/>
      <c r="GB81" s="160"/>
      <c r="GC81" s="160"/>
      <c r="GD81" s="160"/>
      <c r="GE81" s="160"/>
      <c r="GF81" s="160"/>
      <c r="GG81" s="160"/>
      <c r="GH81" s="160"/>
      <c r="GI81" s="160"/>
      <c r="GJ81" s="160"/>
      <c r="GK81" s="160"/>
      <c r="GL81" s="160"/>
      <c r="GM81" s="160"/>
      <c r="GN81" s="160"/>
      <c r="GO81" s="160"/>
      <c r="GP81" s="160"/>
    </row>
    <row r="82" spans="1:198" s="176" customFormat="1" ht="15.6">
      <c r="A82" s="630" t="s">
        <v>1473</v>
      </c>
      <c r="B82" s="635" t="s">
        <v>712</v>
      </c>
      <c r="C82" s="635" t="s">
        <v>9</v>
      </c>
      <c r="D82" s="635">
        <f xml:space="preserve"> CEILING(12.15*12,1)</f>
        <v>146</v>
      </c>
      <c r="E82" s="635"/>
      <c r="F82" s="628"/>
      <c r="G82" s="175"/>
    </row>
    <row r="83" spans="1:198" s="176" customFormat="1" ht="15.6">
      <c r="A83" s="630" t="s">
        <v>1503</v>
      </c>
      <c r="B83" s="635" t="s">
        <v>713</v>
      </c>
      <c r="C83" s="635" t="s">
        <v>9</v>
      </c>
      <c r="D83" s="635">
        <f xml:space="preserve"> CEILING(5.9*12,1)</f>
        <v>71</v>
      </c>
      <c r="E83" s="635"/>
      <c r="F83" s="628"/>
      <c r="G83" s="175"/>
    </row>
    <row r="84" spans="1:198" s="176" customFormat="1" ht="15.6">
      <c r="A84" s="630" t="s">
        <v>1504</v>
      </c>
      <c r="B84" s="635" t="s">
        <v>714</v>
      </c>
      <c r="C84" s="635" t="s">
        <v>9</v>
      </c>
      <c r="D84" s="635">
        <f>CEILING(20.6*6,1)</f>
        <v>124</v>
      </c>
      <c r="E84" s="635"/>
      <c r="F84" s="628"/>
      <c r="G84" s="175"/>
    </row>
    <row r="85" spans="1:198" s="176" customFormat="1" ht="15.6">
      <c r="A85" s="630" t="s">
        <v>1505</v>
      </c>
      <c r="B85" s="635" t="s">
        <v>347</v>
      </c>
      <c r="C85" s="635" t="s">
        <v>9</v>
      </c>
      <c r="D85" s="635">
        <f>CEILING(20.6*2,1)</f>
        <v>42</v>
      </c>
      <c r="E85" s="635"/>
      <c r="F85" s="628"/>
      <c r="G85" s="175"/>
    </row>
    <row r="86" spans="1:198" s="176" customFormat="1" ht="15.6">
      <c r="A86" s="630" t="s">
        <v>1506</v>
      </c>
      <c r="B86" s="635" t="s">
        <v>609</v>
      </c>
      <c r="C86" s="635" t="s">
        <v>9</v>
      </c>
      <c r="D86" s="173">
        <f>CEILING(12*3*0.5,1)</f>
        <v>18</v>
      </c>
      <c r="E86" s="635"/>
      <c r="F86" s="628"/>
      <c r="G86" s="175"/>
    </row>
    <row r="87" spans="1:198" s="176" customFormat="1" ht="15.6">
      <c r="A87" s="630" t="s">
        <v>1507</v>
      </c>
      <c r="B87" s="635" t="s">
        <v>502</v>
      </c>
      <c r="C87" s="635" t="s">
        <v>9</v>
      </c>
      <c r="D87" s="635">
        <f>CEILING(20.6*1,1)</f>
        <v>21</v>
      </c>
      <c r="E87" s="635"/>
      <c r="F87" s="628"/>
      <c r="G87" s="175"/>
    </row>
    <row r="88" spans="1:198" s="176" customFormat="1" ht="15.6">
      <c r="A88" s="1110"/>
      <c r="B88" s="1111"/>
      <c r="C88" s="1111"/>
      <c r="D88" s="1111"/>
      <c r="E88" s="1111"/>
      <c r="F88" s="1136"/>
      <c r="G88" s="175"/>
    </row>
    <row r="89" spans="1:198" s="176" customFormat="1" ht="15.6">
      <c r="A89" s="630"/>
      <c r="B89" s="637" t="s">
        <v>525</v>
      </c>
      <c r="C89" s="635" t="s">
        <v>11</v>
      </c>
      <c r="D89" s="635" t="s">
        <v>11</v>
      </c>
      <c r="E89" s="635"/>
      <c r="F89" s="640"/>
      <c r="G89" s="175"/>
    </row>
    <row r="90" spans="1:198" s="176" customFormat="1" ht="15.6">
      <c r="A90" s="630" t="s">
        <v>1508</v>
      </c>
      <c r="B90" s="635" t="s">
        <v>526</v>
      </c>
      <c r="C90" s="635" t="s">
        <v>11</v>
      </c>
      <c r="D90" s="635" t="s">
        <v>11</v>
      </c>
      <c r="E90" s="635"/>
      <c r="F90" s="640"/>
      <c r="G90" s="175"/>
    </row>
    <row r="91" spans="1:198" s="176" customFormat="1" ht="15.6">
      <c r="A91" s="630" t="s">
        <v>1509</v>
      </c>
      <c r="B91" s="635" t="s">
        <v>610</v>
      </c>
      <c r="C91" s="635" t="s">
        <v>8</v>
      </c>
      <c r="D91" s="635">
        <f>CEILING(120-95,1)</f>
        <v>25</v>
      </c>
      <c r="E91" s="635"/>
      <c r="F91" s="640"/>
      <c r="G91" s="175"/>
    </row>
    <row r="92" spans="1:198" s="176" customFormat="1" ht="15.6">
      <c r="A92" s="630" t="s">
        <v>1510</v>
      </c>
      <c r="B92" s="635" t="s">
        <v>527</v>
      </c>
      <c r="C92" s="635" t="s">
        <v>9</v>
      </c>
      <c r="D92" s="635">
        <v>54</v>
      </c>
      <c r="E92" s="635"/>
      <c r="F92" s="640"/>
      <c r="G92" s="175"/>
    </row>
    <row r="93" spans="1:198" s="176" customFormat="1" ht="15.6">
      <c r="A93" s="630" t="s">
        <v>1511</v>
      </c>
      <c r="B93" s="629" t="s">
        <v>303</v>
      </c>
      <c r="C93" s="635" t="s">
        <v>11</v>
      </c>
      <c r="D93" s="635" t="s">
        <v>11</v>
      </c>
      <c r="E93" s="635"/>
      <c r="F93" s="640"/>
      <c r="G93" s="175"/>
    </row>
    <row r="94" spans="1:198" s="176" customFormat="1" ht="31.2">
      <c r="A94" s="630" t="s">
        <v>1512</v>
      </c>
      <c r="B94" s="635" t="s">
        <v>611</v>
      </c>
      <c r="C94" s="635" t="s">
        <v>8</v>
      </c>
      <c r="D94" s="635">
        <f>D91</f>
        <v>25</v>
      </c>
      <c r="E94" s="635"/>
      <c r="F94" s="640"/>
      <c r="G94" s="175"/>
    </row>
    <row r="95" spans="1:198" s="176" customFormat="1" ht="31.2">
      <c r="A95" s="630" t="s">
        <v>1513</v>
      </c>
      <c r="B95" s="635" t="s">
        <v>528</v>
      </c>
      <c r="C95" s="635" t="s">
        <v>9</v>
      </c>
      <c r="D95" s="635">
        <f>D92</f>
        <v>54</v>
      </c>
      <c r="E95" s="635"/>
      <c r="F95" s="640"/>
      <c r="G95" s="175"/>
    </row>
    <row r="96" spans="1:198" s="176" customFormat="1" ht="15.6">
      <c r="A96" s="1110"/>
      <c r="B96" s="1111"/>
      <c r="C96" s="1111"/>
      <c r="D96" s="1111"/>
      <c r="E96" s="1111"/>
      <c r="F96" s="1112"/>
      <c r="G96" s="175"/>
    </row>
    <row r="97" spans="1:7" s="176" customFormat="1" ht="15.6">
      <c r="A97" s="630"/>
      <c r="B97" s="637" t="s">
        <v>503</v>
      </c>
      <c r="C97" s="635" t="s">
        <v>11</v>
      </c>
      <c r="D97" s="635" t="s">
        <v>11</v>
      </c>
      <c r="E97" s="635"/>
      <c r="F97" s="640"/>
      <c r="G97" s="175"/>
    </row>
    <row r="98" spans="1:7" s="176" customFormat="1" ht="31.2">
      <c r="A98" s="630" t="s">
        <v>1514</v>
      </c>
      <c r="B98" s="635" t="s">
        <v>612</v>
      </c>
      <c r="C98" s="635" t="s">
        <v>9</v>
      </c>
      <c r="D98" s="635">
        <f>D95</f>
        <v>54</v>
      </c>
      <c r="E98" s="635"/>
      <c r="F98" s="640"/>
      <c r="G98" s="175"/>
    </row>
    <row r="99" spans="1:7" s="176" customFormat="1" ht="15.6">
      <c r="A99" s="630"/>
      <c r="B99" s="637" t="s">
        <v>490</v>
      </c>
      <c r="C99" s="635" t="s">
        <v>11</v>
      </c>
      <c r="D99" s="635" t="s">
        <v>11</v>
      </c>
      <c r="E99" s="635"/>
      <c r="F99" s="640"/>
      <c r="G99" s="175"/>
    </row>
    <row r="100" spans="1:7" s="176" customFormat="1" ht="31.2">
      <c r="A100" s="630" t="s">
        <v>1515</v>
      </c>
      <c r="B100" s="635" t="s">
        <v>348</v>
      </c>
      <c r="C100" s="635" t="s">
        <v>9</v>
      </c>
      <c r="D100" s="635">
        <f>4*3</f>
        <v>12</v>
      </c>
      <c r="E100" s="635"/>
      <c r="F100" s="640"/>
      <c r="G100" s="175"/>
    </row>
    <row r="101" spans="1:7" s="176" customFormat="1" ht="15.6">
      <c r="A101" s="630" t="s">
        <v>1516</v>
      </c>
      <c r="B101" s="635" t="s">
        <v>504</v>
      </c>
      <c r="C101" s="635" t="s">
        <v>305</v>
      </c>
      <c r="D101" s="635">
        <v>4</v>
      </c>
      <c r="E101" s="635"/>
      <c r="F101" s="640"/>
      <c r="G101" s="175"/>
    </row>
    <row r="102" spans="1:7" s="176" customFormat="1" ht="15.6">
      <c r="A102" s="630" t="s">
        <v>1517</v>
      </c>
      <c r="B102" s="635" t="s">
        <v>505</v>
      </c>
      <c r="C102" s="635" t="s">
        <v>305</v>
      </c>
      <c r="D102" s="635">
        <v>4</v>
      </c>
      <c r="E102" s="635"/>
      <c r="F102" s="640"/>
      <c r="G102" s="175"/>
    </row>
    <row r="103" spans="1:7" s="176" customFormat="1" ht="31.2">
      <c r="A103" s="630" t="s">
        <v>1518</v>
      </c>
      <c r="B103" s="635" t="s">
        <v>506</v>
      </c>
      <c r="C103" s="635" t="s">
        <v>11</v>
      </c>
      <c r="D103" s="635" t="s">
        <v>11</v>
      </c>
      <c r="E103" s="635"/>
      <c r="F103" s="640"/>
      <c r="G103" s="175"/>
    </row>
    <row r="104" spans="1:7" s="176" customFormat="1" ht="31.2">
      <c r="A104" s="630" t="s">
        <v>1519</v>
      </c>
      <c r="B104" s="635" t="s">
        <v>613</v>
      </c>
      <c r="C104" s="635" t="s">
        <v>9</v>
      </c>
      <c r="D104" s="635">
        <f>D98</f>
        <v>54</v>
      </c>
      <c r="E104" s="635"/>
      <c r="F104" s="640"/>
      <c r="G104" s="175"/>
    </row>
    <row r="105" spans="1:7" s="176" customFormat="1" ht="15.6">
      <c r="A105" s="1132"/>
      <c r="B105" s="1111"/>
      <c r="C105" s="1111"/>
      <c r="D105" s="1111"/>
      <c r="E105" s="1111"/>
      <c r="F105" s="1112"/>
      <c r="G105" s="175"/>
    </row>
    <row r="106" spans="1:7" s="176" customFormat="1" ht="15.6">
      <c r="A106" s="1132"/>
      <c r="B106" s="694" t="s">
        <v>694</v>
      </c>
      <c r="C106" s="924"/>
      <c r="D106" s="860"/>
      <c r="E106" s="858"/>
      <c r="F106" s="925"/>
      <c r="G106" s="175"/>
    </row>
    <row r="107" spans="1:7" s="176" customFormat="1" ht="15.6">
      <c r="A107" s="1132"/>
      <c r="B107" s="1116"/>
      <c r="C107" s="1138"/>
      <c r="D107" s="1064"/>
      <c r="E107" s="1069"/>
      <c r="F107" s="1139"/>
      <c r="G107" s="175"/>
    </row>
    <row r="108" spans="1:7" s="176" customFormat="1" ht="15.6">
      <c r="A108" s="927">
        <v>10.5</v>
      </c>
      <c r="B108" s="852" t="s">
        <v>1577</v>
      </c>
      <c r="C108" s="1111"/>
      <c r="D108" s="1111"/>
      <c r="E108" s="1111"/>
      <c r="F108" s="1112"/>
      <c r="G108" s="175"/>
    </row>
    <row r="109" spans="1:7" s="176" customFormat="1" ht="15.6">
      <c r="A109" s="641"/>
      <c r="B109" s="632" t="s">
        <v>671</v>
      </c>
      <c r="C109" s="633"/>
      <c r="D109" s="633"/>
      <c r="E109" s="633"/>
      <c r="F109" s="640"/>
      <c r="G109" s="175"/>
    </row>
    <row r="110" spans="1:7" s="176" customFormat="1" ht="31.2">
      <c r="A110" s="630" t="s">
        <v>1520</v>
      </c>
      <c r="B110" s="635" t="s">
        <v>715</v>
      </c>
      <c r="C110" s="642" t="s">
        <v>305</v>
      </c>
      <c r="D110" s="642">
        <v>11</v>
      </c>
      <c r="E110" s="642"/>
      <c r="F110" s="640"/>
      <c r="G110" s="175"/>
    </row>
    <row r="111" spans="1:7" s="176" customFormat="1" ht="31.2">
      <c r="A111" s="630" t="s">
        <v>1521</v>
      </c>
      <c r="B111" s="635" t="s">
        <v>614</v>
      </c>
      <c r="C111" s="642" t="s">
        <v>9</v>
      </c>
      <c r="D111" s="642">
        <f>CEILING(5.1*D110,1)</f>
        <v>57</v>
      </c>
      <c r="E111" s="642"/>
      <c r="F111" s="640"/>
      <c r="G111" s="175"/>
    </row>
    <row r="112" spans="1:7" s="176" customFormat="1" ht="15.6">
      <c r="A112" s="630" t="s">
        <v>1522</v>
      </c>
      <c r="B112" s="635" t="s">
        <v>615</v>
      </c>
      <c r="C112" s="642" t="s">
        <v>9</v>
      </c>
      <c r="D112" s="642">
        <f>D111*2</f>
        <v>114</v>
      </c>
      <c r="E112" s="642"/>
      <c r="F112" s="640"/>
      <c r="G112" s="175"/>
    </row>
    <row r="113" spans="1:198" s="176" customFormat="1" ht="15.6">
      <c r="A113" s="630" t="s">
        <v>1523</v>
      </c>
      <c r="B113" s="635" t="s">
        <v>616</v>
      </c>
      <c r="C113" s="642" t="s">
        <v>9</v>
      </c>
      <c r="D113" s="642">
        <f>D112</f>
        <v>114</v>
      </c>
      <c r="E113" s="642"/>
      <c r="F113" s="640"/>
      <c r="G113" s="175"/>
    </row>
    <row r="114" spans="1:198" s="176" customFormat="1" ht="15.6">
      <c r="A114" s="630"/>
      <c r="B114" s="637" t="s">
        <v>617</v>
      </c>
      <c r="C114" s="642" t="s">
        <v>11</v>
      </c>
      <c r="D114" s="642" t="s">
        <v>11</v>
      </c>
      <c r="E114" s="642"/>
      <c r="F114" s="640"/>
      <c r="G114" s="175"/>
    </row>
    <row r="115" spans="1:198" s="176" customFormat="1" ht="31.2">
      <c r="A115" s="630" t="s">
        <v>1524</v>
      </c>
      <c r="B115" s="635" t="s">
        <v>618</v>
      </c>
      <c r="C115" s="642" t="s">
        <v>11</v>
      </c>
      <c r="D115" s="642" t="s">
        <v>11</v>
      </c>
      <c r="E115" s="642"/>
      <c r="F115" s="640"/>
      <c r="G115" s="175"/>
    </row>
    <row r="116" spans="1:198" s="176" customFormat="1" ht="15.6">
      <c r="A116" s="630" t="s">
        <v>1525</v>
      </c>
      <c r="B116" s="635" t="s">
        <v>619</v>
      </c>
      <c r="C116" s="642" t="s">
        <v>305</v>
      </c>
      <c r="D116" s="642">
        <f>SUM(D110:D110)</f>
        <v>11</v>
      </c>
      <c r="E116" s="642"/>
      <c r="F116" s="640"/>
      <c r="G116" s="175"/>
    </row>
    <row r="117" spans="1:198" s="176" customFormat="1" ht="15.6">
      <c r="A117" s="630" t="s">
        <v>1526</v>
      </c>
      <c r="B117" s="643" t="s">
        <v>620</v>
      </c>
      <c r="C117" s="644" t="s">
        <v>621</v>
      </c>
      <c r="D117" s="644">
        <f>CEILING(D116*3/2,1)</f>
        <v>17</v>
      </c>
      <c r="E117" s="644"/>
      <c r="F117" s="645"/>
      <c r="G117" s="175"/>
    </row>
    <row r="118" spans="1:198" s="171" customFormat="1" ht="15.6">
      <c r="A118" s="630" t="s">
        <v>1527</v>
      </c>
      <c r="B118" s="635" t="s">
        <v>622</v>
      </c>
      <c r="C118" s="642" t="s">
        <v>305</v>
      </c>
      <c r="D118" s="642">
        <f>D116</f>
        <v>11</v>
      </c>
      <c r="E118" s="642"/>
      <c r="F118" s="640"/>
      <c r="G118" s="169"/>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0"/>
      <c r="BR118" s="170"/>
      <c r="BS118" s="170"/>
      <c r="BT118" s="170"/>
      <c r="BU118" s="170"/>
      <c r="BV118" s="170"/>
      <c r="BW118" s="170"/>
      <c r="BX118" s="170"/>
      <c r="BY118" s="170"/>
      <c r="BZ118" s="170"/>
      <c r="CA118" s="170"/>
      <c r="CB118" s="170"/>
      <c r="CC118" s="170"/>
      <c r="CD118" s="170"/>
      <c r="CE118" s="170"/>
      <c r="CF118" s="170"/>
      <c r="CG118" s="170"/>
      <c r="CH118" s="170"/>
      <c r="CI118" s="170"/>
      <c r="CJ118" s="170"/>
      <c r="CK118" s="170"/>
      <c r="CL118" s="170"/>
      <c r="CM118" s="170"/>
      <c r="CN118" s="170"/>
      <c r="CO118" s="170"/>
      <c r="CP118" s="170"/>
      <c r="CQ118" s="170"/>
      <c r="CR118" s="170"/>
      <c r="CS118" s="170"/>
      <c r="CT118" s="170"/>
      <c r="CU118" s="170"/>
      <c r="CV118" s="170"/>
      <c r="CW118" s="170"/>
      <c r="CX118" s="170"/>
      <c r="CY118" s="170"/>
      <c r="CZ118" s="170"/>
      <c r="DA118" s="170"/>
      <c r="DB118" s="170"/>
      <c r="DC118" s="170"/>
      <c r="DD118" s="170"/>
      <c r="DE118" s="170"/>
      <c r="DF118" s="170"/>
      <c r="DG118" s="170"/>
      <c r="DH118" s="170"/>
      <c r="DI118" s="170"/>
      <c r="DJ118" s="170"/>
      <c r="DK118" s="170"/>
      <c r="DL118" s="170"/>
      <c r="DM118" s="170"/>
      <c r="DN118" s="170"/>
      <c r="DO118" s="170"/>
      <c r="DP118" s="170"/>
      <c r="DQ118" s="170"/>
      <c r="DR118" s="170"/>
      <c r="DS118" s="170"/>
      <c r="DT118" s="170"/>
      <c r="DU118" s="170"/>
      <c r="DV118" s="170"/>
      <c r="DW118" s="170"/>
      <c r="DX118" s="170"/>
      <c r="DY118" s="170"/>
      <c r="DZ118" s="170"/>
      <c r="EA118" s="170"/>
      <c r="EB118" s="170"/>
      <c r="EC118" s="170"/>
      <c r="ED118" s="170"/>
      <c r="EE118" s="170"/>
      <c r="EF118" s="170"/>
      <c r="EG118" s="170"/>
      <c r="EH118" s="170"/>
      <c r="EI118" s="170"/>
      <c r="EJ118" s="170"/>
      <c r="EK118" s="170"/>
      <c r="EL118" s="170"/>
      <c r="EM118" s="170"/>
      <c r="EN118" s="170"/>
      <c r="EO118" s="170"/>
      <c r="EP118" s="170"/>
      <c r="EQ118" s="170"/>
      <c r="ER118" s="170"/>
      <c r="ES118" s="170"/>
      <c r="ET118" s="170"/>
      <c r="EU118" s="170"/>
      <c r="EV118" s="170"/>
      <c r="EW118" s="170"/>
      <c r="EX118" s="170"/>
      <c r="EY118" s="170"/>
      <c r="EZ118" s="170"/>
      <c r="FA118" s="170"/>
      <c r="FB118" s="170"/>
      <c r="FC118" s="170"/>
      <c r="FD118" s="170"/>
      <c r="FE118" s="170"/>
      <c r="FF118" s="170"/>
      <c r="FG118" s="170"/>
      <c r="FH118" s="170"/>
      <c r="FI118" s="170"/>
      <c r="FJ118" s="170"/>
      <c r="FK118" s="170"/>
      <c r="FL118" s="170"/>
      <c r="FM118" s="170"/>
      <c r="FN118" s="170"/>
      <c r="FO118" s="170"/>
      <c r="FP118" s="170"/>
      <c r="FQ118" s="170"/>
      <c r="FR118" s="170"/>
      <c r="FS118" s="170"/>
      <c r="FT118" s="170"/>
      <c r="FU118" s="170"/>
      <c r="FV118" s="170"/>
      <c r="FW118" s="170"/>
      <c r="FX118" s="170"/>
      <c r="FY118" s="170"/>
      <c r="FZ118" s="170"/>
      <c r="GA118" s="170"/>
      <c r="GB118" s="170"/>
      <c r="GC118" s="170"/>
      <c r="GD118" s="170"/>
      <c r="GE118" s="170"/>
      <c r="GF118" s="170"/>
      <c r="GG118" s="170"/>
      <c r="GH118" s="170"/>
      <c r="GI118" s="170"/>
      <c r="GJ118" s="170"/>
      <c r="GK118" s="170"/>
      <c r="GL118" s="170"/>
      <c r="GM118" s="170"/>
      <c r="GN118" s="170"/>
      <c r="GO118" s="170"/>
      <c r="GP118" s="170"/>
    </row>
    <row r="119" spans="1:198" s="161" customFormat="1" ht="15.6">
      <c r="A119" s="630"/>
      <c r="B119" s="637" t="s">
        <v>623</v>
      </c>
      <c r="C119" s="642" t="s">
        <v>11</v>
      </c>
      <c r="D119" s="642" t="s">
        <v>11</v>
      </c>
      <c r="E119" s="642"/>
      <c r="F119" s="640"/>
      <c r="G119" s="159"/>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c r="BO119" s="160"/>
      <c r="BP119" s="160"/>
      <c r="BQ119" s="160"/>
      <c r="BR119" s="160"/>
      <c r="BS119" s="160"/>
      <c r="BT119" s="160"/>
      <c r="BU119" s="160"/>
      <c r="BV119" s="160"/>
      <c r="BW119" s="160"/>
      <c r="BX119" s="160"/>
      <c r="BY119" s="160"/>
      <c r="BZ119" s="160"/>
      <c r="CA119" s="160"/>
      <c r="CB119" s="160"/>
      <c r="CC119" s="160"/>
      <c r="CD119" s="160"/>
      <c r="CE119" s="160"/>
      <c r="CF119" s="160"/>
      <c r="CG119" s="160"/>
      <c r="CH119" s="160"/>
      <c r="CI119" s="160"/>
      <c r="CJ119" s="160"/>
      <c r="CK119" s="160"/>
      <c r="CL119" s="160"/>
      <c r="CM119" s="160"/>
      <c r="CN119" s="160"/>
      <c r="CO119" s="160"/>
      <c r="CP119" s="160"/>
      <c r="CQ119" s="160"/>
      <c r="CR119" s="160"/>
      <c r="CS119" s="160"/>
      <c r="CT119" s="160"/>
      <c r="CU119" s="160"/>
      <c r="CV119" s="160"/>
      <c r="CW119" s="160"/>
      <c r="CX119" s="160"/>
      <c r="CY119" s="160"/>
      <c r="CZ119" s="160"/>
      <c r="DA119" s="160"/>
      <c r="DB119" s="160"/>
      <c r="DC119" s="160"/>
      <c r="DD119" s="160"/>
      <c r="DE119" s="160"/>
      <c r="DF119" s="160"/>
      <c r="DG119" s="160"/>
      <c r="DH119" s="160"/>
      <c r="DI119" s="160"/>
      <c r="DJ119" s="160"/>
      <c r="DK119" s="160"/>
      <c r="DL119" s="160"/>
      <c r="DM119" s="160"/>
      <c r="DN119" s="160"/>
      <c r="DO119" s="160"/>
      <c r="DP119" s="160"/>
      <c r="DQ119" s="160"/>
      <c r="DR119" s="160"/>
      <c r="DS119" s="160"/>
      <c r="DT119" s="160"/>
      <c r="DU119" s="160"/>
      <c r="DV119" s="160"/>
      <c r="DW119" s="160"/>
      <c r="DX119" s="160"/>
      <c r="DY119" s="160"/>
      <c r="DZ119" s="160"/>
      <c r="EA119" s="160"/>
      <c r="EB119" s="160"/>
      <c r="EC119" s="160"/>
      <c r="ED119" s="160"/>
      <c r="EE119" s="160"/>
      <c r="EF119" s="160"/>
      <c r="EG119" s="160"/>
      <c r="EH119" s="160"/>
      <c r="EI119" s="160"/>
      <c r="EJ119" s="160"/>
      <c r="EK119" s="160"/>
      <c r="EL119" s="160"/>
      <c r="EM119" s="160"/>
      <c r="EN119" s="160"/>
      <c r="EO119" s="160"/>
      <c r="EP119" s="160"/>
      <c r="EQ119" s="160"/>
      <c r="ER119" s="160"/>
      <c r="ES119" s="160"/>
      <c r="ET119" s="160"/>
      <c r="EU119" s="160"/>
      <c r="EV119" s="160"/>
      <c r="EW119" s="160"/>
      <c r="EX119" s="160"/>
      <c r="EY119" s="160"/>
      <c r="EZ119" s="160"/>
      <c r="FA119" s="160"/>
      <c r="FB119" s="160"/>
      <c r="FC119" s="160"/>
      <c r="FD119" s="160"/>
      <c r="FE119" s="160"/>
      <c r="FF119" s="160"/>
      <c r="FG119" s="160"/>
      <c r="FH119" s="160"/>
      <c r="FI119" s="160"/>
      <c r="FJ119" s="160"/>
      <c r="FK119" s="160"/>
      <c r="FL119" s="160"/>
      <c r="FM119" s="160"/>
      <c r="FN119" s="160"/>
      <c r="FO119" s="160"/>
      <c r="FP119" s="160"/>
      <c r="FQ119" s="160"/>
      <c r="FR119" s="160"/>
      <c r="FS119" s="160"/>
      <c r="FT119" s="160"/>
      <c r="FU119" s="160"/>
      <c r="FV119" s="160"/>
      <c r="FW119" s="160"/>
      <c r="FX119" s="160"/>
      <c r="FY119" s="160"/>
      <c r="FZ119" s="160"/>
      <c r="GA119" s="160"/>
      <c r="GB119" s="160"/>
      <c r="GC119" s="160"/>
      <c r="GD119" s="160"/>
      <c r="GE119" s="160"/>
      <c r="GF119" s="160"/>
      <c r="GG119" s="160"/>
      <c r="GH119" s="160"/>
      <c r="GI119" s="160"/>
      <c r="GJ119" s="160"/>
      <c r="GK119" s="160"/>
      <c r="GL119" s="160"/>
      <c r="GM119" s="160"/>
      <c r="GN119" s="160"/>
      <c r="GO119" s="160"/>
      <c r="GP119" s="160"/>
    </row>
    <row r="120" spans="1:198" s="171" customFormat="1" ht="31.2">
      <c r="A120" s="630" t="s">
        <v>1575</v>
      </c>
      <c r="B120" s="635" t="s">
        <v>624</v>
      </c>
      <c r="C120" s="642" t="s">
        <v>329</v>
      </c>
      <c r="D120" s="642" t="s">
        <v>468</v>
      </c>
      <c r="E120" s="642"/>
      <c r="F120" s="640"/>
      <c r="G120" s="169"/>
      <c r="H120" s="170"/>
      <c r="I120" s="170"/>
      <c r="J120" s="170"/>
      <c r="K120" s="170"/>
      <c r="L120" s="170"/>
      <c r="M120" s="170"/>
      <c r="N120" s="170"/>
      <c r="O120" s="170"/>
      <c r="P120" s="170"/>
      <c r="Q120" s="170"/>
      <c r="R120" s="170"/>
      <c r="S120" s="170"/>
      <c r="T120" s="170"/>
      <c r="U120" s="170"/>
      <c r="V120" s="170"/>
      <c r="W120" s="170"/>
      <c r="X120" s="170"/>
      <c r="Y120" s="170"/>
      <c r="Z120" s="170"/>
      <c r="AA120" s="170"/>
      <c r="AB120" s="170"/>
      <c r="AC120" s="170"/>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c r="AY120" s="170"/>
      <c r="AZ120" s="170"/>
      <c r="BA120" s="170"/>
      <c r="BB120" s="170"/>
      <c r="BC120" s="170"/>
      <c r="BD120" s="170"/>
      <c r="BE120" s="170"/>
      <c r="BF120" s="170"/>
      <c r="BG120" s="170"/>
      <c r="BH120" s="170"/>
      <c r="BI120" s="170"/>
      <c r="BJ120" s="170"/>
      <c r="BK120" s="170"/>
      <c r="BL120" s="170"/>
      <c r="BM120" s="170"/>
      <c r="BN120" s="170"/>
      <c r="BO120" s="170"/>
      <c r="BP120" s="170"/>
      <c r="BQ120" s="170"/>
      <c r="BR120" s="170"/>
      <c r="BS120" s="170"/>
      <c r="BT120" s="170"/>
      <c r="BU120" s="170"/>
      <c r="BV120" s="170"/>
      <c r="BW120" s="170"/>
      <c r="BX120" s="170"/>
      <c r="BY120" s="170"/>
      <c r="BZ120" s="170"/>
      <c r="CA120" s="170"/>
      <c r="CB120" s="170"/>
      <c r="CC120" s="170"/>
      <c r="CD120" s="170"/>
      <c r="CE120" s="170"/>
      <c r="CF120" s="170"/>
      <c r="CG120" s="170"/>
      <c r="CH120" s="170"/>
      <c r="CI120" s="170"/>
      <c r="CJ120" s="170"/>
      <c r="CK120" s="170"/>
      <c r="CL120" s="170"/>
      <c r="CM120" s="170"/>
      <c r="CN120" s="170"/>
      <c r="CO120" s="170"/>
      <c r="CP120" s="170"/>
      <c r="CQ120" s="170"/>
      <c r="CR120" s="170"/>
      <c r="CS120" s="170"/>
      <c r="CT120" s="170"/>
      <c r="CU120" s="170"/>
      <c r="CV120" s="170"/>
      <c r="CW120" s="170"/>
      <c r="CX120" s="170"/>
      <c r="CY120" s="170"/>
      <c r="CZ120" s="170"/>
      <c r="DA120" s="170"/>
      <c r="DB120" s="170"/>
      <c r="DC120" s="170"/>
      <c r="DD120" s="170"/>
      <c r="DE120" s="170"/>
      <c r="DF120" s="170"/>
      <c r="DG120" s="170"/>
      <c r="DH120" s="170"/>
      <c r="DI120" s="170"/>
      <c r="DJ120" s="170"/>
      <c r="DK120" s="170"/>
      <c r="DL120" s="170"/>
      <c r="DM120" s="170"/>
      <c r="DN120" s="170"/>
      <c r="DO120" s="170"/>
      <c r="DP120" s="170"/>
      <c r="DQ120" s="170"/>
      <c r="DR120" s="170"/>
      <c r="DS120" s="170"/>
      <c r="DT120" s="170"/>
      <c r="DU120" s="170"/>
      <c r="DV120" s="170"/>
      <c r="DW120" s="170"/>
      <c r="DX120" s="170"/>
      <c r="DY120" s="170"/>
      <c r="DZ120" s="170"/>
      <c r="EA120" s="170"/>
      <c r="EB120" s="170"/>
      <c r="EC120" s="170"/>
      <c r="ED120" s="170"/>
      <c r="EE120" s="170"/>
      <c r="EF120" s="170"/>
      <c r="EG120" s="170"/>
      <c r="EH120" s="170"/>
      <c r="EI120" s="170"/>
      <c r="EJ120" s="170"/>
      <c r="EK120" s="170"/>
      <c r="EL120" s="170"/>
      <c r="EM120" s="170"/>
      <c r="EN120" s="170"/>
      <c r="EO120" s="170"/>
      <c r="EP120" s="170"/>
      <c r="EQ120" s="170"/>
      <c r="ER120" s="170"/>
      <c r="ES120" s="170"/>
      <c r="ET120" s="170"/>
      <c r="EU120" s="170"/>
      <c r="EV120" s="170"/>
      <c r="EW120" s="170"/>
      <c r="EX120" s="170"/>
      <c r="EY120" s="170"/>
      <c r="EZ120" s="170"/>
      <c r="FA120" s="170"/>
      <c r="FB120" s="170"/>
      <c r="FC120" s="170"/>
      <c r="FD120" s="170"/>
      <c r="FE120" s="170"/>
      <c r="FF120" s="170"/>
      <c r="FG120" s="170"/>
      <c r="FH120" s="170"/>
      <c r="FI120" s="170"/>
      <c r="FJ120" s="170"/>
      <c r="FK120" s="170"/>
      <c r="FL120" s="170"/>
      <c r="FM120" s="170"/>
      <c r="FN120" s="170"/>
      <c r="FO120" s="170"/>
      <c r="FP120" s="170"/>
      <c r="FQ120" s="170"/>
      <c r="FR120" s="170"/>
      <c r="FS120" s="170"/>
      <c r="FT120" s="170"/>
      <c r="FU120" s="170"/>
      <c r="FV120" s="170"/>
      <c r="FW120" s="170"/>
      <c r="FX120" s="170"/>
      <c r="FY120" s="170"/>
      <c r="FZ120" s="170"/>
      <c r="GA120" s="170"/>
      <c r="GB120" s="170"/>
      <c r="GC120" s="170"/>
      <c r="GD120" s="170"/>
      <c r="GE120" s="170"/>
      <c r="GF120" s="170"/>
      <c r="GG120" s="170"/>
      <c r="GH120" s="170"/>
      <c r="GI120" s="170"/>
      <c r="GJ120" s="170"/>
      <c r="GK120" s="170"/>
      <c r="GL120" s="170"/>
      <c r="GM120" s="170"/>
      <c r="GN120" s="170"/>
      <c r="GO120" s="170"/>
      <c r="GP120" s="170"/>
    </row>
    <row r="121" spans="1:198" s="171" customFormat="1" ht="15.6">
      <c r="A121" s="1110"/>
      <c r="B121" s="1111"/>
      <c r="C121" s="1133"/>
      <c r="D121" s="1133"/>
      <c r="E121" s="1133"/>
      <c r="F121" s="1140"/>
      <c r="G121" s="169"/>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c r="AY121" s="170"/>
      <c r="AZ121" s="170"/>
      <c r="BA121" s="170"/>
      <c r="BB121" s="170"/>
      <c r="BC121" s="170"/>
      <c r="BD121" s="170"/>
      <c r="BE121" s="170"/>
      <c r="BF121" s="170"/>
      <c r="BG121" s="170"/>
      <c r="BH121" s="170"/>
      <c r="BI121" s="170"/>
      <c r="BJ121" s="170"/>
      <c r="BK121" s="170"/>
      <c r="BL121" s="170"/>
      <c r="BM121" s="170"/>
      <c r="BN121" s="170"/>
      <c r="BO121" s="170"/>
      <c r="BP121" s="170"/>
      <c r="BQ121" s="170"/>
      <c r="BR121" s="170"/>
      <c r="BS121" s="170"/>
      <c r="BT121" s="170"/>
      <c r="BU121" s="170"/>
      <c r="BV121" s="170"/>
      <c r="BW121" s="170"/>
      <c r="BX121" s="170"/>
      <c r="BY121" s="170"/>
      <c r="BZ121" s="170"/>
      <c r="CA121" s="170"/>
      <c r="CB121" s="170"/>
      <c r="CC121" s="170"/>
      <c r="CD121" s="170"/>
      <c r="CE121" s="170"/>
      <c r="CF121" s="170"/>
      <c r="CG121" s="170"/>
      <c r="CH121" s="170"/>
      <c r="CI121" s="170"/>
      <c r="CJ121" s="170"/>
      <c r="CK121" s="170"/>
      <c r="CL121" s="170"/>
      <c r="CM121" s="170"/>
      <c r="CN121" s="170"/>
      <c r="CO121" s="170"/>
      <c r="CP121" s="170"/>
      <c r="CQ121" s="170"/>
      <c r="CR121" s="170"/>
      <c r="CS121" s="170"/>
      <c r="CT121" s="170"/>
      <c r="CU121" s="170"/>
      <c r="CV121" s="170"/>
      <c r="CW121" s="170"/>
      <c r="CX121" s="170"/>
      <c r="CY121" s="170"/>
      <c r="CZ121" s="170"/>
      <c r="DA121" s="170"/>
      <c r="DB121" s="170"/>
      <c r="DC121" s="170"/>
      <c r="DD121" s="170"/>
      <c r="DE121" s="170"/>
      <c r="DF121" s="170"/>
      <c r="DG121" s="170"/>
      <c r="DH121" s="170"/>
      <c r="DI121" s="170"/>
      <c r="DJ121" s="170"/>
      <c r="DK121" s="170"/>
      <c r="DL121" s="170"/>
      <c r="DM121" s="170"/>
      <c r="DN121" s="170"/>
      <c r="DO121" s="170"/>
      <c r="DP121" s="170"/>
      <c r="DQ121" s="170"/>
      <c r="DR121" s="170"/>
      <c r="DS121" s="170"/>
      <c r="DT121" s="170"/>
      <c r="DU121" s="170"/>
      <c r="DV121" s="170"/>
      <c r="DW121" s="170"/>
      <c r="DX121" s="170"/>
      <c r="DY121" s="170"/>
      <c r="DZ121" s="170"/>
      <c r="EA121" s="170"/>
      <c r="EB121" s="170"/>
      <c r="EC121" s="170"/>
      <c r="ED121" s="170"/>
      <c r="EE121" s="170"/>
      <c r="EF121" s="170"/>
      <c r="EG121" s="170"/>
      <c r="EH121" s="170"/>
      <c r="EI121" s="170"/>
      <c r="EJ121" s="170"/>
      <c r="EK121" s="170"/>
      <c r="EL121" s="170"/>
      <c r="EM121" s="170"/>
      <c r="EN121" s="170"/>
      <c r="EO121" s="170"/>
      <c r="EP121" s="170"/>
      <c r="EQ121" s="170"/>
      <c r="ER121" s="170"/>
      <c r="ES121" s="170"/>
      <c r="ET121" s="170"/>
      <c r="EU121" s="170"/>
      <c r="EV121" s="170"/>
      <c r="EW121" s="170"/>
      <c r="EX121" s="170"/>
      <c r="EY121" s="170"/>
      <c r="EZ121" s="170"/>
      <c r="FA121" s="170"/>
      <c r="FB121" s="170"/>
      <c r="FC121" s="170"/>
      <c r="FD121" s="170"/>
      <c r="FE121" s="170"/>
      <c r="FF121" s="170"/>
      <c r="FG121" s="170"/>
      <c r="FH121" s="170"/>
      <c r="FI121" s="170"/>
      <c r="FJ121" s="170"/>
      <c r="FK121" s="170"/>
      <c r="FL121" s="170"/>
      <c r="FM121" s="170"/>
      <c r="FN121" s="170"/>
      <c r="FO121" s="170"/>
      <c r="FP121" s="170"/>
      <c r="FQ121" s="170"/>
      <c r="FR121" s="170"/>
      <c r="FS121" s="170"/>
      <c r="FT121" s="170"/>
      <c r="FU121" s="170"/>
      <c r="FV121" s="170"/>
      <c r="FW121" s="170"/>
      <c r="FX121" s="170"/>
      <c r="FY121" s="170"/>
      <c r="FZ121" s="170"/>
      <c r="GA121" s="170"/>
      <c r="GB121" s="170"/>
      <c r="GC121" s="170"/>
      <c r="GD121" s="170"/>
      <c r="GE121" s="170"/>
      <c r="GF121" s="170"/>
      <c r="GG121" s="170"/>
      <c r="GH121" s="170"/>
      <c r="GI121" s="170"/>
      <c r="GJ121" s="170"/>
      <c r="GK121" s="170"/>
      <c r="GL121" s="170"/>
      <c r="GM121" s="170"/>
      <c r="GN121" s="170"/>
      <c r="GO121" s="170"/>
      <c r="GP121" s="170"/>
    </row>
    <row r="122" spans="1:198" s="171" customFormat="1" ht="15.6">
      <c r="A122" s="1110"/>
      <c r="B122" s="694" t="s">
        <v>694</v>
      </c>
      <c r="C122" s="924"/>
      <c r="D122" s="860"/>
      <c r="E122" s="858"/>
      <c r="F122" s="925"/>
      <c r="G122" s="169"/>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c r="AY122" s="170"/>
      <c r="AZ122" s="170"/>
      <c r="BA122" s="170"/>
      <c r="BB122" s="170"/>
      <c r="BC122" s="170"/>
      <c r="BD122" s="170"/>
      <c r="BE122" s="170"/>
      <c r="BF122" s="170"/>
      <c r="BG122" s="170"/>
      <c r="BH122" s="170"/>
      <c r="BI122" s="170"/>
      <c r="BJ122" s="170"/>
      <c r="BK122" s="170"/>
      <c r="BL122" s="170"/>
      <c r="BM122" s="170"/>
      <c r="BN122" s="170"/>
      <c r="BO122" s="170"/>
      <c r="BP122" s="170"/>
      <c r="BQ122" s="170"/>
      <c r="BR122" s="170"/>
      <c r="BS122" s="170"/>
      <c r="BT122" s="170"/>
      <c r="BU122" s="170"/>
      <c r="BV122" s="170"/>
      <c r="BW122" s="170"/>
      <c r="BX122" s="170"/>
      <c r="BY122" s="170"/>
      <c r="BZ122" s="170"/>
      <c r="CA122" s="170"/>
      <c r="CB122" s="170"/>
      <c r="CC122" s="170"/>
      <c r="CD122" s="170"/>
      <c r="CE122" s="170"/>
      <c r="CF122" s="170"/>
      <c r="CG122" s="170"/>
      <c r="CH122" s="170"/>
      <c r="CI122" s="170"/>
      <c r="CJ122" s="170"/>
      <c r="CK122" s="170"/>
      <c r="CL122" s="170"/>
      <c r="CM122" s="170"/>
      <c r="CN122" s="170"/>
      <c r="CO122" s="170"/>
      <c r="CP122" s="170"/>
      <c r="CQ122" s="170"/>
      <c r="CR122" s="170"/>
      <c r="CS122" s="170"/>
      <c r="CT122" s="170"/>
      <c r="CU122" s="170"/>
      <c r="CV122" s="170"/>
      <c r="CW122" s="170"/>
      <c r="CX122" s="170"/>
      <c r="CY122" s="170"/>
      <c r="CZ122" s="170"/>
      <c r="DA122" s="170"/>
      <c r="DB122" s="170"/>
      <c r="DC122" s="170"/>
      <c r="DD122" s="170"/>
      <c r="DE122" s="170"/>
      <c r="DF122" s="170"/>
      <c r="DG122" s="170"/>
      <c r="DH122" s="170"/>
      <c r="DI122" s="170"/>
      <c r="DJ122" s="170"/>
      <c r="DK122" s="170"/>
      <c r="DL122" s="170"/>
      <c r="DM122" s="170"/>
      <c r="DN122" s="170"/>
      <c r="DO122" s="170"/>
      <c r="DP122" s="170"/>
      <c r="DQ122" s="170"/>
      <c r="DR122" s="170"/>
      <c r="DS122" s="170"/>
      <c r="DT122" s="170"/>
      <c r="DU122" s="170"/>
      <c r="DV122" s="170"/>
      <c r="DW122" s="170"/>
      <c r="DX122" s="170"/>
      <c r="DY122" s="170"/>
      <c r="DZ122" s="170"/>
      <c r="EA122" s="170"/>
      <c r="EB122" s="170"/>
      <c r="EC122" s="170"/>
      <c r="ED122" s="170"/>
      <c r="EE122" s="170"/>
      <c r="EF122" s="170"/>
      <c r="EG122" s="170"/>
      <c r="EH122" s="170"/>
      <c r="EI122" s="170"/>
      <c r="EJ122" s="170"/>
      <c r="EK122" s="170"/>
      <c r="EL122" s="170"/>
      <c r="EM122" s="170"/>
      <c r="EN122" s="170"/>
      <c r="EO122" s="170"/>
      <c r="EP122" s="170"/>
      <c r="EQ122" s="170"/>
      <c r="ER122" s="170"/>
      <c r="ES122" s="170"/>
      <c r="ET122" s="170"/>
      <c r="EU122" s="170"/>
      <c r="EV122" s="170"/>
      <c r="EW122" s="170"/>
      <c r="EX122" s="170"/>
      <c r="EY122" s="170"/>
      <c r="EZ122" s="170"/>
      <c r="FA122" s="170"/>
      <c r="FB122" s="170"/>
      <c r="FC122" s="170"/>
      <c r="FD122" s="170"/>
      <c r="FE122" s="170"/>
      <c r="FF122" s="170"/>
      <c r="FG122" s="170"/>
      <c r="FH122" s="170"/>
      <c r="FI122" s="170"/>
      <c r="FJ122" s="170"/>
      <c r="FK122" s="170"/>
      <c r="FL122" s="170"/>
      <c r="FM122" s="170"/>
      <c r="FN122" s="170"/>
      <c r="FO122" s="170"/>
      <c r="FP122" s="170"/>
      <c r="FQ122" s="170"/>
      <c r="FR122" s="170"/>
      <c r="FS122" s="170"/>
      <c r="FT122" s="170"/>
      <c r="FU122" s="170"/>
      <c r="FV122" s="170"/>
      <c r="FW122" s="170"/>
      <c r="FX122" s="170"/>
      <c r="FY122" s="170"/>
      <c r="FZ122" s="170"/>
      <c r="GA122" s="170"/>
      <c r="GB122" s="170"/>
      <c r="GC122" s="170"/>
      <c r="GD122" s="170"/>
      <c r="GE122" s="170"/>
      <c r="GF122" s="170"/>
      <c r="GG122" s="170"/>
      <c r="GH122" s="170"/>
      <c r="GI122" s="170"/>
      <c r="GJ122" s="170"/>
      <c r="GK122" s="170"/>
      <c r="GL122" s="170"/>
      <c r="GM122" s="170"/>
      <c r="GN122" s="170"/>
      <c r="GO122" s="170"/>
      <c r="GP122" s="170"/>
    </row>
    <row r="123" spans="1:198" s="171" customFormat="1" ht="15.6">
      <c r="A123" s="1132"/>
      <c r="B123" s="1116"/>
      <c r="C123" s="1138"/>
      <c r="D123" s="1064"/>
      <c r="E123" s="1069"/>
      <c r="F123" s="1139"/>
      <c r="G123" s="169"/>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c r="AY123" s="170"/>
      <c r="AZ123" s="170"/>
      <c r="BA123" s="170"/>
      <c r="BB123" s="170"/>
      <c r="BC123" s="170"/>
      <c r="BD123" s="170"/>
      <c r="BE123" s="170"/>
      <c r="BF123" s="170"/>
      <c r="BG123" s="170"/>
      <c r="BH123" s="170"/>
      <c r="BI123" s="170"/>
      <c r="BJ123" s="170"/>
      <c r="BK123" s="170"/>
      <c r="BL123" s="170"/>
      <c r="BM123" s="170"/>
      <c r="BN123" s="170"/>
      <c r="BO123" s="170"/>
      <c r="BP123" s="170"/>
      <c r="BQ123" s="170"/>
      <c r="BR123" s="170"/>
      <c r="BS123" s="170"/>
      <c r="BT123" s="170"/>
      <c r="BU123" s="170"/>
      <c r="BV123" s="170"/>
      <c r="BW123" s="170"/>
      <c r="BX123" s="170"/>
      <c r="BY123" s="170"/>
      <c r="BZ123" s="170"/>
      <c r="CA123" s="170"/>
      <c r="CB123" s="170"/>
      <c r="CC123" s="170"/>
      <c r="CD123" s="170"/>
      <c r="CE123" s="170"/>
      <c r="CF123" s="170"/>
      <c r="CG123" s="170"/>
      <c r="CH123" s="170"/>
      <c r="CI123" s="170"/>
      <c r="CJ123" s="170"/>
      <c r="CK123" s="170"/>
      <c r="CL123" s="170"/>
      <c r="CM123" s="170"/>
      <c r="CN123" s="170"/>
      <c r="CO123" s="170"/>
      <c r="CP123" s="170"/>
      <c r="CQ123" s="170"/>
      <c r="CR123" s="170"/>
      <c r="CS123" s="170"/>
      <c r="CT123" s="170"/>
      <c r="CU123" s="170"/>
      <c r="CV123" s="170"/>
      <c r="CW123" s="170"/>
      <c r="CX123" s="170"/>
      <c r="CY123" s="170"/>
      <c r="CZ123" s="170"/>
      <c r="DA123" s="170"/>
      <c r="DB123" s="170"/>
      <c r="DC123" s="170"/>
      <c r="DD123" s="170"/>
      <c r="DE123" s="170"/>
      <c r="DF123" s="170"/>
      <c r="DG123" s="170"/>
      <c r="DH123" s="170"/>
      <c r="DI123" s="170"/>
      <c r="DJ123" s="170"/>
      <c r="DK123" s="170"/>
      <c r="DL123" s="170"/>
      <c r="DM123" s="170"/>
      <c r="DN123" s="170"/>
      <c r="DO123" s="170"/>
      <c r="DP123" s="170"/>
      <c r="DQ123" s="170"/>
      <c r="DR123" s="170"/>
      <c r="DS123" s="170"/>
      <c r="DT123" s="170"/>
      <c r="DU123" s="170"/>
      <c r="DV123" s="170"/>
      <c r="DW123" s="170"/>
      <c r="DX123" s="170"/>
      <c r="DY123" s="170"/>
      <c r="DZ123" s="170"/>
      <c r="EA123" s="170"/>
      <c r="EB123" s="170"/>
      <c r="EC123" s="170"/>
      <c r="ED123" s="170"/>
      <c r="EE123" s="170"/>
      <c r="EF123" s="170"/>
      <c r="EG123" s="170"/>
      <c r="EH123" s="170"/>
      <c r="EI123" s="170"/>
      <c r="EJ123" s="170"/>
      <c r="EK123" s="170"/>
      <c r="EL123" s="170"/>
      <c r="EM123" s="170"/>
      <c r="EN123" s="170"/>
      <c r="EO123" s="170"/>
      <c r="EP123" s="170"/>
      <c r="EQ123" s="170"/>
      <c r="ER123" s="170"/>
      <c r="ES123" s="170"/>
      <c r="ET123" s="170"/>
      <c r="EU123" s="170"/>
      <c r="EV123" s="170"/>
      <c r="EW123" s="170"/>
      <c r="EX123" s="170"/>
      <c r="EY123" s="170"/>
      <c r="EZ123" s="170"/>
      <c r="FA123" s="170"/>
      <c r="FB123" s="170"/>
      <c r="FC123" s="170"/>
      <c r="FD123" s="170"/>
      <c r="FE123" s="170"/>
      <c r="FF123" s="170"/>
      <c r="FG123" s="170"/>
      <c r="FH123" s="170"/>
      <c r="FI123" s="170"/>
      <c r="FJ123" s="170"/>
      <c r="FK123" s="170"/>
      <c r="FL123" s="170"/>
      <c r="FM123" s="170"/>
      <c r="FN123" s="170"/>
      <c r="FO123" s="170"/>
      <c r="FP123" s="170"/>
      <c r="FQ123" s="170"/>
      <c r="FR123" s="170"/>
      <c r="FS123" s="170"/>
      <c r="FT123" s="170"/>
      <c r="FU123" s="170"/>
      <c r="FV123" s="170"/>
      <c r="FW123" s="170"/>
      <c r="FX123" s="170"/>
      <c r="FY123" s="170"/>
      <c r="FZ123" s="170"/>
      <c r="GA123" s="170"/>
      <c r="GB123" s="170"/>
      <c r="GC123" s="170"/>
      <c r="GD123" s="170"/>
      <c r="GE123" s="170"/>
      <c r="GF123" s="170"/>
      <c r="GG123" s="170"/>
      <c r="GH123" s="170"/>
      <c r="GI123" s="170"/>
      <c r="GJ123" s="170"/>
      <c r="GK123" s="170"/>
      <c r="GL123" s="170"/>
      <c r="GM123" s="170"/>
      <c r="GN123" s="170"/>
      <c r="GO123" s="170"/>
      <c r="GP123" s="170"/>
    </row>
    <row r="124" spans="1:198" s="171" customFormat="1" ht="15.6">
      <c r="A124" s="927">
        <v>10.6</v>
      </c>
      <c r="B124" s="852" t="s">
        <v>1576</v>
      </c>
      <c r="C124" s="1133"/>
      <c r="D124" s="1133"/>
      <c r="E124" s="1133"/>
      <c r="F124" s="1112"/>
      <c r="G124" s="169"/>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c r="AY124" s="170"/>
      <c r="AZ124" s="170"/>
      <c r="BA124" s="170"/>
      <c r="BB124" s="170"/>
      <c r="BC124" s="170"/>
      <c r="BD124" s="170"/>
      <c r="BE124" s="170"/>
      <c r="BF124" s="170"/>
      <c r="BG124" s="170"/>
      <c r="BH124" s="170"/>
      <c r="BI124" s="170"/>
      <c r="BJ124" s="170"/>
      <c r="BK124" s="170"/>
      <c r="BL124" s="170"/>
      <c r="BM124" s="170"/>
      <c r="BN124" s="170"/>
      <c r="BO124" s="170"/>
      <c r="BP124" s="170"/>
      <c r="BQ124" s="170"/>
      <c r="BR124" s="170"/>
      <c r="BS124" s="170"/>
      <c r="BT124" s="170"/>
      <c r="BU124" s="170"/>
      <c r="BV124" s="170"/>
      <c r="BW124" s="170"/>
      <c r="BX124" s="170"/>
      <c r="BY124" s="170"/>
      <c r="BZ124" s="170"/>
      <c r="CA124" s="170"/>
      <c r="CB124" s="170"/>
      <c r="CC124" s="170"/>
      <c r="CD124" s="170"/>
      <c r="CE124" s="170"/>
      <c r="CF124" s="170"/>
      <c r="CG124" s="170"/>
      <c r="CH124" s="170"/>
      <c r="CI124" s="170"/>
      <c r="CJ124" s="170"/>
      <c r="CK124" s="170"/>
      <c r="CL124" s="170"/>
      <c r="CM124" s="170"/>
      <c r="CN124" s="170"/>
      <c r="CO124" s="170"/>
      <c r="CP124" s="170"/>
      <c r="CQ124" s="170"/>
      <c r="CR124" s="170"/>
      <c r="CS124" s="170"/>
      <c r="CT124" s="170"/>
      <c r="CU124" s="170"/>
      <c r="CV124" s="170"/>
      <c r="CW124" s="170"/>
      <c r="CX124" s="170"/>
      <c r="CY124" s="170"/>
      <c r="CZ124" s="170"/>
      <c r="DA124" s="170"/>
      <c r="DB124" s="170"/>
      <c r="DC124" s="170"/>
      <c r="DD124" s="170"/>
      <c r="DE124" s="170"/>
      <c r="DF124" s="170"/>
      <c r="DG124" s="170"/>
      <c r="DH124" s="170"/>
      <c r="DI124" s="170"/>
      <c r="DJ124" s="170"/>
      <c r="DK124" s="170"/>
      <c r="DL124" s="170"/>
      <c r="DM124" s="170"/>
      <c r="DN124" s="170"/>
      <c r="DO124" s="170"/>
      <c r="DP124" s="170"/>
      <c r="DQ124" s="170"/>
      <c r="DR124" s="170"/>
      <c r="DS124" s="170"/>
      <c r="DT124" s="170"/>
      <c r="DU124" s="170"/>
      <c r="DV124" s="170"/>
      <c r="DW124" s="170"/>
      <c r="DX124" s="170"/>
      <c r="DY124" s="170"/>
      <c r="DZ124" s="170"/>
      <c r="EA124" s="170"/>
      <c r="EB124" s="170"/>
      <c r="EC124" s="170"/>
      <c r="ED124" s="170"/>
      <c r="EE124" s="170"/>
      <c r="EF124" s="170"/>
      <c r="EG124" s="170"/>
      <c r="EH124" s="170"/>
      <c r="EI124" s="170"/>
      <c r="EJ124" s="170"/>
      <c r="EK124" s="170"/>
      <c r="EL124" s="170"/>
      <c r="EM124" s="170"/>
      <c r="EN124" s="170"/>
      <c r="EO124" s="170"/>
      <c r="EP124" s="170"/>
      <c r="EQ124" s="170"/>
      <c r="ER124" s="170"/>
      <c r="ES124" s="170"/>
      <c r="ET124" s="170"/>
      <c r="EU124" s="170"/>
      <c r="EV124" s="170"/>
      <c r="EW124" s="170"/>
      <c r="EX124" s="170"/>
      <c r="EY124" s="170"/>
      <c r="EZ124" s="170"/>
      <c r="FA124" s="170"/>
      <c r="FB124" s="170"/>
      <c r="FC124" s="170"/>
      <c r="FD124" s="170"/>
      <c r="FE124" s="170"/>
      <c r="FF124" s="170"/>
      <c r="FG124" s="170"/>
      <c r="FH124" s="170"/>
      <c r="FI124" s="170"/>
      <c r="FJ124" s="170"/>
      <c r="FK124" s="170"/>
      <c r="FL124" s="170"/>
      <c r="FM124" s="170"/>
      <c r="FN124" s="170"/>
      <c r="FO124" s="170"/>
      <c r="FP124" s="170"/>
      <c r="FQ124" s="170"/>
      <c r="FR124" s="170"/>
      <c r="FS124" s="170"/>
      <c r="FT124" s="170"/>
      <c r="FU124" s="170"/>
      <c r="FV124" s="170"/>
      <c r="FW124" s="170"/>
      <c r="FX124" s="170"/>
      <c r="FY124" s="170"/>
      <c r="FZ124" s="170"/>
      <c r="GA124" s="170"/>
      <c r="GB124" s="170"/>
      <c r="GC124" s="170"/>
      <c r="GD124" s="170"/>
      <c r="GE124" s="170"/>
      <c r="GF124" s="170"/>
      <c r="GG124" s="170"/>
      <c r="GH124" s="170"/>
      <c r="GI124" s="170"/>
      <c r="GJ124" s="170"/>
      <c r="GK124" s="170"/>
      <c r="GL124" s="170"/>
      <c r="GM124" s="170"/>
      <c r="GN124" s="170"/>
      <c r="GO124" s="170"/>
      <c r="GP124" s="170"/>
    </row>
    <row r="125" spans="1:198" s="176" customFormat="1" ht="15.6">
      <c r="A125" s="646"/>
      <c r="B125" s="632" t="s">
        <v>670</v>
      </c>
      <c r="C125" s="632"/>
      <c r="D125" s="633"/>
      <c r="E125" s="633"/>
      <c r="F125" s="640"/>
      <c r="G125" s="175"/>
    </row>
    <row r="126" spans="1:198" s="176" customFormat="1" ht="33" customHeight="1">
      <c r="A126" s="646" t="s">
        <v>1528</v>
      </c>
      <c r="B126" s="631" t="s">
        <v>625</v>
      </c>
      <c r="C126" s="631" t="s">
        <v>304</v>
      </c>
      <c r="D126" s="627">
        <v>1</v>
      </c>
      <c r="E126" s="627"/>
      <c r="F126" s="640"/>
      <c r="G126" s="175"/>
    </row>
    <row r="127" spans="1:198" s="176" customFormat="1" ht="31.2">
      <c r="A127" s="646" t="s">
        <v>1529</v>
      </c>
      <c r="B127" s="631" t="s">
        <v>1495</v>
      </c>
      <c r="C127" s="631" t="s">
        <v>304</v>
      </c>
      <c r="D127" s="627">
        <v>10</v>
      </c>
      <c r="E127" s="627"/>
      <c r="F127" s="640"/>
      <c r="G127" s="175"/>
    </row>
    <row r="128" spans="1:198" s="176" customFormat="1" ht="15.6">
      <c r="A128" s="1113"/>
      <c r="B128" s="1134"/>
      <c r="C128" s="1134"/>
      <c r="D128" s="1135"/>
      <c r="E128" s="1135"/>
      <c r="F128" s="1112"/>
      <c r="G128" s="175"/>
    </row>
    <row r="129" spans="1:7" s="176" customFormat="1" ht="15.6">
      <c r="A129" s="1113"/>
      <c r="B129" s="694" t="s">
        <v>694</v>
      </c>
      <c r="C129" s="924"/>
      <c r="D129" s="860"/>
      <c r="E129" s="858"/>
      <c r="F129" s="925"/>
      <c r="G129" s="175"/>
    </row>
    <row r="130" spans="1:7" s="176" customFormat="1" ht="15.6">
      <c r="A130" s="1113"/>
      <c r="B130" s="1134"/>
      <c r="C130" s="1134"/>
      <c r="D130" s="1135"/>
      <c r="E130" s="1135"/>
      <c r="F130" s="1112"/>
      <c r="G130" s="175"/>
    </row>
    <row r="131" spans="1:7" s="176" customFormat="1" ht="15.6">
      <c r="A131" s="1121" t="s">
        <v>260</v>
      </c>
      <c r="B131" s="1122" t="s">
        <v>13</v>
      </c>
      <c r="C131" s="1123" t="s">
        <v>330</v>
      </c>
      <c r="D131" s="1124" t="s">
        <v>331</v>
      </c>
      <c r="E131" s="1125" t="s">
        <v>332</v>
      </c>
      <c r="F131" s="1126"/>
      <c r="G131" s="175"/>
    </row>
    <row r="132" spans="1:7" s="176" customFormat="1" ht="15.6">
      <c r="A132" s="927">
        <v>10.7</v>
      </c>
      <c r="B132" s="852" t="s">
        <v>1530</v>
      </c>
      <c r="C132" s="1134"/>
      <c r="D132" s="1135"/>
      <c r="E132" s="1135"/>
      <c r="F132" s="1112"/>
      <c r="G132" s="175"/>
    </row>
    <row r="133" spans="1:7" s="176" customFormat="1" ht="15.6">
      <c r="A133" s="646"/>
      <c r="B133" s="632" t="s">
        <v>301</v>
      </c>
      <c r="C133" s="632"/>
      <c r="D133" s="633"/>
      <c r="E133" s="633"/>
      <c r="F133" s="640"/>
      <c r="G133" s="175"/>
    </row>
    <row r="134" spans="1:7" s="176" customFormat="1" ht="15.6">
      <c r="A134" s="647"/>
      <c r="B134" s="648" t="s">
        <v>626</v>
      </c>
      <c r="C134" s="649"/>
      <c r="D134" s="649"/>
      <c r="E134" s="649"/>
      <c r="F134" s="640"/>
      <c r="G134" s="175"/>
    </row>
    <row r="135" spans="1:7" s="182" customFormat="1" ht="31.2">
      <c r="A135" s="646" t="s">
        <v>1531</v>
      </c>
      <c r="B135" s="650" t="s">
        <v>627</v>
      </c>
      <c r="C135" s="649" t="s">
        <v>628</v>
      </c>
      <c r="D135" s="651">
        <f>D51</f>
        <v>113</v>
      </c>
      <c r="E135" s="649"/>
      <c r="F135" s="640"/>
      <c r="G135" s="181"/>
    </row>
    <row r="136" spans="1:7" s="184" customFormat="1" ht="15.6">
      <c r="A136" s="646"/>
      <c r="B136" s="648" t="s">
        <v>629</v>
      </c>
      <c r="C136" s="649"/>
      <c r="D136" s="649"/>
      <c r="E136" s="649"/>
      <c r="F136" s="640"/>
      <c r="G136" s="588"/>
    </row>
    <row r="137" spans="1:7" s="52" customFormat="1" ht="31.2">
      <c r="A137" s="646" t="s">
        <v>1532</v>
      </c>
      <c r="B137" s="650" t="s">
        <v>630</v>
      </c>
      <c r="C137" s="649" t="s">
        <v>628</v>
      </c>
      <c r="D137" s="651">
        <v>48</v>
      </c>
      <c r="E137" s="649"/>
      <c r="F137" s="640"/>
      <c r="G137" s="74"/>
    </row>
    <row r="138" spans="1:7" s="52" customFormat="1" ht="15.6">
      <c r="A138" s="1113"/>
      <c r="B138" s="1145"/>
      <c r="C138" s="1146"/>
      <c r="D138" s="1147"/>
      <c r="E138" s="1146"/>
      <c r="F138" s="1112"/>
      <c r="G138" s="74"/>
    </row>
    <row r="139" spans="1:7" s="192" customFormat="1" ht="15.6">
      <c r="A139" s="652"/>
      <c r="B139" s="653" t="s">
        <v>693</v>
      </c>
      <c r="C139" s="654"/>
      <c r="D139" s="654"/>
      <c r="E139" s="654"/>
      <c r="F139" s="639"/>
      <c r="G139" s="191"/>
    </row>
    <row r="140" spans="1:7" s="192" customFormat="1" ht="15.6">
      <c r="A140" s="1141"/>
      <c r="B140" s="1142"/>
      <c r="C140" s="1143"/>
      <c r="D140" s="1143"/>
      <c r="E140" s="1143"/>
      <c r="F140" s="1144"/>
      <c r="G140" s="191"/>
    </row>
    <row r="141" spans="1:7" s="198" customFormat="1" ht="31.2">
      <c r="A141" s="618">
        <v>10.8</v>
      </c>
      <c r="B141" s="655" t="s">
        <v>1135</v>
      </c>
      <c r="C141" s="656"/>
      <c r="D141" s="657"/>
      <c r="E141" s="656"/>
      <c r="F141" s="658"/>
      <c r="G141" s="197"/>
    </row>
    <row r="142" spans="1:7" s="198" customFormat="1" ht="15.6">
      <c r="A142" s="659"/>
      <c r="B142" s="660"/>
      <c r="C142" s="661"/>
      <c r="D142" s="662"/>
      <c r="E142" s="663"/>
      <c r="F142" s="664"/>
      <c r="G142" s="197"/>
    </row>
    <row r="143" spans="1:7" s="198" customFormat="1" ht="15.6">
      <c r="A143" s="526"/>
      <c r="B143" s="655" t="s">
        <v>310</v>
      </c>
      <c r="C143" s="656"/>
      <c r="D143" s="657"/>
      <c r="E143" s="656"/>
      <c r="F143" s="664"/>
      <c r="G143" s="197"/>
    </row>
    <row r="144" spans="1:7" s="198" customFormat="1" ht="57.6">
      <c r="A144" s="526"/>
      <c r="B144" s="928" t="s">
        <v>467</v>
      </c>
      <c r="C144" s="665"/>
      <c r="D144" s="657"/>
      <c r="E144" s="656"/>
      <c r="F144" s="664"/>
      <c r="G144" s="197"/>
    </row>
    <row r="145" spans="1:7" s="198" customFormat="1" ht="15.6">
      <c r="A145" s="526" t="s">
        <v>1533</v>
      </c>
      <c r="B145" s="666" t="s">
        <v>704</v>
      </c>
      <c r="C145" s="665" t="s">
        <v>10</v>
      </c>
      <c r="D145" s="665">
        <v>4</v>
      </c>
      <c r="E145" s="656"/>
      <c r="F145" s="664"/>
      <c r="G145" s="197"/>
    </row>
    <row r="146" spans="1:7" s="198" customFormat="1" ht="15.6">
      <c r="A146" s="526" t="s">
        <v>1534</v>
      </c>
      <c r="B146" s="666" t="s">
        <v>1496</v>
      </c>
      <c r="C146" s="665" t="s">
        <v>10</v>
      </c>
      <c r="D146" s="665">
        <v>10</v>
      </c>
      <c r="E146" s="1114"/>
      <c r="F146" s="664"/>
      <c r="G146" s="197"/>
    </row>
    <row r="147" spans="1:7" s="198" customFormat="1" ht="15.6">
      <c r="A147" s="526"/>
      <c r="B147" s="667" t="s">
        <v>311</v>
      </c>
      <c r="C147" s="665"/>
      <c r="D147" s="665"/>
      <c r="E147" s="656"/>
      <c r="F147" s="664"/>
      <c r="G147" s="197"/>
    </row>
    <row r="148" spans="1:7" s="198" customFormat="1" ht="15.6">
      <c r="A148" s="526" t="s">
        <v>1535</v>
      </c>
      <c r="B148" s="666" t="s">
        <v>312</v>
      </c>
      <c r="C148" s="665" t="s">
        <v>304</v>
      </c>
      <c r="D148" s="665">
        <v>12</v>
      </c>
      <c r="E148" s="656"/>
      <c r="F148" s="664"/>
      <c r="G148" s="197"/>
    </row>
    <row r="149" spans="1:7" s="198" customFormat="1" ht="15.6">
      <c r="A149" s="526"/>
      <c r="B149" s="655" t="s">
        <v>313</v>
      </c>
      <c r="C149" s="656"/>
      <c r="D149" s="657"/>
      <c r="E149" s="656"/>
      <c r="F149" s="664"/>
      <c r="G149" s="197"/>
    </row>
    <row r="150" spans="1:7" s="198" customFormat="1" ht="15.6">
      <c r="A150" s="526"/>
      <c r="B150" s="667" t="s">
        <v>316</v>
      </c>
      <c r="C150" s="656"/>
      <c r="D150" s="657"/>
      <c r="E150" s="656"/>
      <c r="F150" s="664"/>
      <c r="G150" s="197"/>
    </row>
    <row r="151" spans="1:7" s="149" customFormat="1" ht="93.6">
      <c r="A151" s="526"/>
      <c r="B151" s="666" t="s">
        <v>705</v>
      </c>
      <c r="C151" s="665"/>
      <c r="D151" s="657"/>
      <c r="E151" s="656"/>
      <c r="F151" s="664"/>
      <c r="G151" s="211"/>
    </row>
    <row r="152" spans="1:7" s="149" customFormat="1" ht="15.6">
      <c r="A152" s="526" t="s">
        <v>1536</v>
      </c>
      <c r="B152" s="668" t="s">
        <v>317</v>
      </c>
      <c r="C152" s="665" t="s">
        <v>318</v>
      </c>
      <c r="D152" s="657">
        <f>54*3</f>
        <v>162</v>
      </c>
      <c r="E152" s="656"/>
      <c r="F152" s="664"/>
      <c r="G152" s="211"/>
    </row>
    <row r="153" spans="1:7" s="149" customFormat="1" ht="43.2">
      <c r="A153" s="669"/>
      <c r="B153" s="928" t="s">
        <v>706</v>
      </c>
      <c r="C153" s="644"/>
      <c r="D153" s="657"/>
      <c r="E153" s="656"/>
      <c r="F153" s="664"/>
      <c r="G153" s="211"/>
    </row>
    <row r="154" spans="1:7" s="149" customFormat="1" ht="15.6">
      <c r="A154" s="659"/>
      <c r="B154" s="670" t="s">
        <v>694</v>
      </c>
      <c r="C154" s="671"/>
      <c r="D154" s="672"/>
      <c r="E154" s="673"/>
      <c r="F154" s="674"/>
      <c r="G154" s="211"/>
    </row>
    <row r="155" spans="1:7" s="149" customFormat="1" ht="15.6">
      <c r="A155" s="659"/>
      <c r="B155" s="670"/>
      <c r="C155" s="671"/>
      <c r="D155" s="672"/>
      <c r="E155" s="673"/>
      <c r="F155" s="674"/>
      <c r="G155" s="211"/>
    </row>
    <row r="156" spans="1:7" s="149" customFormat="1" ht="15.6">
      <c r="A156" s="1121" t="s">
        <v>260</v>
      </c>
      <c r="B156" s="1122" t="s">
        <v>13</v>
      </c>
      <c r="C156" s="1123" t="s">
        <v>330</v>
      </c>
      <c r="D156" s="1124" t="s">
        <v>331</v>
      </c>
      <c r="E156" s="1125" t="s">
        <v>332</v>
      </c>
      <c r="F156" s="1126"/>
      <c r="G156" s="211"/>
    </row>
    <row r="157" spans="1:7" s="149" customFormat="1" ht="31.2">
      <c r="A157" s="675">
        <v>10.9</v>
      </c>
      <c r="B157" s="655" t="s">
        <v>1537</v>
      </c>
      <c r="C157" s="676"/>
      <c r="D157" s="677"/>
      <c r="E157" s="676"/>
      <c r="F157" s="678"/>
      <c r="G157" s="211"/>
    </row>
    <row r="158" spans="1:7" s="149" customFormat="1" ht="15.6">
      <c r="A158" s="679" t="s">
        <v>11</v>
      </c>
      <c r="B158" s="668" t="s">
        <v>716</v>
      </c>
      <c r="C158" s="676" t="s">
        <v>11</v>
      </c>
      <c r="D158" s="677" t="s">
        <v>11</v>
      </c>
      <c r="E158" s="676"/>
      <c r="F158" s="680"/>
      <c r="G158" s="211"/>
    </row>
    <row r="159" spans="1:7" s="149" customFormat="1" ht="15.6">
      <c r="A159" s="679" t="s">
        <v>11</v>
      </c>
      <c r="B159" s="668" t="s">
        <v>717</v>
      </c>
      <c r="C159" s="676"/>
      <c r="D159" s="677"/>
      <c r="E159" s="676"/>
      <c r="F159" s="680"/>
      <c r="G159" s="211"/>
    </row>
    <row r="160" spans="1:7" s="149" customFormat="1" ht="62.4">
      <c r="A160" s="679"/>
      <c r="B160" s="668" t="s">
        <v>718</v>
      </c>
      <c r="C160" s="676"/>
      <c r="D160" s="677"/>
      <c r="E160" s="676"/>
      <c r="F160" s="680"/>
      <c r="G160" s="211"/>
    </row>
    <row r="161" spans="1:7" s="149" customFormat="1" ht="15.6">
      <c r="A161" s="679" t="s">
        <v>1538</v>
      </c>
      <c r="B161" s="668" t="s">
        <v>720</v>
      </c>
      <c r="C161" s="676" t="s">
        <v>719</v>
      </c>
      <c r="D161" s="677">
        <f>CEILING(58.2+12*2,1)</f>
        <v>83</v>
      </c>
      <c r="E161" s="676"/>
      <c r="F161" s="680"/>
      <c r="G161" s="211"/>
    </row>
    <row r="162" spans="1:7" s="149" customFormat="1" ht="15.6">
      <c r="A162" s="679" t="s">
        <v>11</v>
      </c>
      <c r="B162" s="668" t="s">
        <v>721</v>
      </c>
      <c r="C162" s="676" t="s">
        <v>11</v>
      </c>
      <c r="D162" s="677" t="s">
        <v>11</v>
      </c>
      <c r="E162" s="676"/>
      <c r="F162" s="680"/>
      <c r="G162" s="211"/>
    </row>
    <row r="163" spans="1:7" s="149" customFormat="1" ht="15.6">
      <c r="A163" s="679" t="s">
        <v>11</v>
      </c>
      <c r="B163" s="668" t="s">
        <v>722</v>
      </c>
      <c r="C163" s="676" t="s">
        <v>11</v>
      </c>
      <c r="D163" s="677" t="s">
        <v>11</v>
      </c>
      <c r="E163" s="676"/>
      <c r="F163" s="680"/>
      <c r="G163" s="211"/>
    </row>
    <row r="164" spans="1:7" s="149" customFormat="1" ht="15.6">
      <c r="A164" s="679" t="s">
        <v>1539</v>
      </c>
      <c r="B164" s="668" t="s">
        <v>723</v>
      </c>
      <c r="C164" s="676" t="s">
        <v>305</v>
      </c>
      <c r="D164" s="677">
        <v>8</v>
      </c>
      <c r="E164" s="676"/>
      <c r="F164" s="680"/>
      <c r="G164" s="211"/>
    </row>
    <row r="165" spans="1:7" s="149" customFormat="1" ht="15.6">
      <c r="A165" s="679" t="s">
        <v>11</v>
      </c>
      <c r="B165" s="668" t="s">
        <v>724</v>
      </c>
      <c r="C165" s="676" t="s">
        <v>11</v>
      </c>
      <c r="D165" s="677" t="s">
        <v>11</v>
      </c>
      <c r="E165" s="676"/>
      <c r="F165" s="680"/>
      <c r="G165" s="211"/>
    </row>
    <row r="166" spans="1:7" s="149" customFormat="1" ht="15.6">
      <c r="A166" s="679" t="s">
        <v>1540</v>
      </c>
      <c r="B166" s="668" t="s">
        <v>723</v>
      </c>
      <c r="C166" s="676" t="s">
        <v>305</v>
      </c>
      <c r="D166" s="677">
        <v>29</v>
      </c>
      <c r="E166" s="676"/>
      <c r="F166" s="680"/>
      <c r="G166" s="211"/>
    </row>
    <row r="167" spans="1:7" s="149" customFormat="1" ht="15.6">
      <c r="A167" s="679" t="s">
        <v>11</v>
      </c>
      <c r="B167" s="668" t="s">
        <v>725</v>
      </c>
      <c r="C167" s="676" t="s">
        <v>11</v>
      </c>
      <c r="D167" s="677" t="s">
        <v>11</v>
      </c>
      <c r="E167" s="676"/>
      <c r="F167" s="680"/>
      <c r="G167" s="211"/>
    </row>
    <row r="168" spans="1:7" s="149" customFormat="1" ht="15.6">
      <c r="A168" s="679" t="s">
        <v>1541</v>
      </c>
      <c r="B168" s="668" t="s">
        <v>726</v>
      </c>
      <c r="C168" s="676" t="s">
        <v>305</v>
      </c>
      <c r="D168" s="677">
        <v>1</v>
      </c>
      <c r="E168" s="676"/>
      <c r="F168" s="680"/>
      <c r="G168" s="211"/>
    </row>
    <row r="169" spans="1:7" s="579" customFormat="1" ht="46.8">
      <c r="A169" s="679" t="s">
        <v>1542</v>
      </c>
      <c r="B169" s="668" t="s">
        <v>728</v>
      </c>
      <c r="C169" s="676" t="s">
        <v>727</v>
      </c>
      <c r="D169" s="677">
        <v>1</v>
      </c>
      <c r="E169" s="676"/>
      <c r="F169" s="680"/>
      <c r="G169" s="578"/>
    </row>
    <row r="170" spans="1:7" s="579" customFormat="1" ht="31.2">
      <c r="A170" s="679" t="s">
        <v>1543</v>
      </c>
      <c r="B170" s="668" t="s">
        <v>729</v>
      </c>
      <c r="C170" s="676" t="s">
        <v>10</v>
      </c>
      <c r="D170" s="677">
        <v>1</v>
      </c>
      <c r="E170" s="676"/>
      <c r="F170" s="680"/>
      <c r="G170" s="578"/>
    </row>
    <row r="171" spans="1:7" s="579" customFormat="1" ht="15.6">
      <c r="A171" s="679"/>
      <c r="B171" s="668"/>
      <c r="C171" s="676"/>
      <c r="D171" s="677"/>
      <c r="E171" s="676"/>
      <c r="F171" s="680"/>
      <c r="G171" s="578"/>
    </row>
    <row r="172" spans="1:7" s="579" customFormat="1" ht="15.6">
      <c r="A172" s="679" t="s">
        <v>11</v>
      </c>
      <c r="B172" s="681" t="s">
        <v>730</v>
      </c>
      <c r="C172" s="682" t="s">
        <v>11</v>
      </c>
      <c r="D172" s="683" t="s">
        <v>11</v>
      </c>
      <c r="E172" s="682"/>
      <c r="F172" s="684"/>
      <c r="G172" s="578"/>
    </row>
    <row r="173" spans="1:7" s="579" customFormat="1" ht="159" customHeight="1">
      <c r="A173" s="679" t="s">
        <v>11</v>
      </c>
      <c r="B173" s="668" t="s">
        <v>731</v>
      </c>
      <c r="C173" s="682"/>
      <c r="D173" s="683"/>
      <c r="E173" s="682"/>
      <c r="F173" s="684"/>
      <c r="G173" s="578"/>
    </row>
    <row r="174" spans="1:7" s="579" customFormat="1" ht="15.6">
      <c r="A174" s="679" t="s">
        <v>1544</v>
      </c>
      <c r="B174" s="681" t="s">
        <v>732</v>
      </c>
      <c r="C174" s="682" t="s">
        <v>733</v>
      </c>
      <c r="D174" s="683">
        <v>97</v>
      </c>
      <c r="E174" s="682"/>
      <c r="F174" s="684"/>
      <c r="G174" s="578"/>
    </row>
    <row r="175" spans="1:7" s="579" customFormat="1" ht="15.6">
      <c r="A175" s="679" t="s">
        <v>1545</v>
      </c>
      <c r="B175" s="681" t="s">
        <v>734</v>
      </c>
      <c r="C175" s="682" t="s">
        <v>733</v>
      </c>
      <c r="D175" s="683">
        <v>9</v>
      </c>
      <c r="E175" s="682"/>
      <c r="F175" s="684"/>
      <c r="G175" s="578"/>
    </row>
    <row r="176" spans="1:7" s="579" customFormat="1" ht="15.6">
      <c r="A176" s="679" t="s">
        <v>1546</v>
      </c>
      <c r="B176" s="681" t="s">
        <v>735</v>
      </c>
      <c r="C176" s="682" t="s">
        <v>733</v>
      </c>
      <c r="D176" s="683">
        <v>5</v>
      </c>
      <c r="E176" s="682"/>
      <c r="F176" s="684"/>
      <c r="G176" s="578"/>
    </row>
    <row r="177" spans="1:7" s="579" customFormat="1" ht="15.6">
      <c r="A177" s="679" t="s">
        <v>1547</v>
      </c>
      <c r="B177" s="686" t="s">
        <v>736</v>
      </c>
      <c r="C177" s="687" t="s">
        <v>733</v>
      </c>
      <c r="D177" s="683">
        <v>5</v>
      </c>
      <c r="E177" s="682"/>
      <c r="F177" s="684"/>
      <c r="G177" s="578"/>
    </row>
    <row r="178" spans="1:7" s="579" customFormat="1" ht="15.6">
      <c r="A178" s="685" t="s">
        <v>11</v>
      </c>
      <c r="B178" s="686" t="s">
        <v>737</v>
      </c>
      <c r="C178" s="687" t="s">
        <v>11</v>
      </c>
      <c r="D178" s="683" t="s">
        <v>11</v>
      </c>
      <c r="E178" s="682"/>
      <c r="F178" s="684"/>
      <c r="G178" s="578"/>
    </row>
    <row r="179" spans="1:7" s="579" customFormat="1" ht="15.6">
      <c r="A179" s="679" t="s">
        <v>1548</v>
      </c>
      <c r="B179" s="686" t="s">
        <v>738</v>
      </c>
      <c r="C179" s="687" t="s">
        <v>305</v>
      </c>
      <c r="D179" s="683">
        <v>3</v>
      </c>
      <c r="E179" s="682"/>
      <c r="F179" s="684"/>
      <c r="G179" s="578"/>
    </row>
    <row r="180" spans="1:7" s="579" customFormat="1" ht="15.6">
      <c r="A180" s="679" t="s">
        <v>1549</v>
      </c>
      <c r="B180" s="686" t="s">
        <v>739</v>
      </c>
      <c r="C180" s="687" t="s">
        <v>305</v>
      </c>
      <c r="D180" s="683">
        <v>5</v>
      </c>
      <c r="E180" s="682"/>
      <c r="F180" s="684"/>
      <c r="G180" s="578"/>
    </row>
    <row r="181" spans="1:7" s="579" customFormat="1" ht="15.6">
      <c r="A181" s="679" t="s">
        <v>1550</v>
      </c>
      <c r="B181" s="689" t="s">
        <v>740</v>
      </c>
      <c r="C181" s="690" t="s">
        <v>305</v>
      </c>
      <c r="D181" s="691">
        <v>12</v>
      </c>
      <c r="E181" s="692"/>
      <c r="F181" s="684"/>
      <c r="G181" s="578"/>
    </row>
    <row r="182" spans="1:7" s="579" customFormat="1" ht="15.6">
      <c r="A182" s="679" t="s">
        <v>1551</v>
      </c>
      <c r="B182" s="693" t="s">
        <v>741</v>
      </c>
      <c r="C182" s="693" t="s">
        <v>305</v>
      </c>
      <c r="D182" s="693">
        <v>5</v>
      </c>
      <c r="E182" s="693"/>
      <c r="F182" s="684"/>
      <c r="G182" s="578"/>
    </row>
    <row r="183" spans="1:7" s="579" customFormat="1" ht="15.6">
      <c r="A183" s="679" t="s">
        <v>1552</v>
      </c>
      <c r="B183" s="693" t="s">
        <v>742</v>
      </c>
      <c r="C183" s="693" t="s">
        <v>305</v>
      </c>
      <c r="D183" s="693">
        <v>5</v>
      </c>
      <c r="E183" s="693"/>
      <c r="F183" s="684"/>
      <c r="G183" s="578"/>
    </row>
    <row r="184" spans="1:7" s="579" customFormat="1" ht="15.6">
      <c r="A184" s="679" t="s">
        <v>1553</v>
      </c>
      <c r="B184" s="693" t="s">
        <v>743</v>
      </c>
      <c r="C184" s="693" t="s">
        <v>305</v>
      </c>
      <c r="D184" s="693">
        <v>5</v>
      </c>
      <c r="E184" s="693"/>
      <c r="F184" s="684"/>
      <c r="G184" s="578"/>
    </row>
    <row r="185" spans="1:7" s="579" customFormat="1" ht="15.6">
      <c r="A185" s="679" t="s">
        <v>1554</v>
      </c>
      <c r="B185" s="693" t="s">
        <v>744</v>
      </c>
      <c r="C185" s="693" t="s">
        <v>305</v>
      </c>
      <c r="D185" s="693">
        <v>2</v>
      </c>
      <c r="E185" s="693"/>
      <c r="F185" s="684"/>
      <c r="G185" s="578"/>
    </row>
    <row r="186" spans="1:7" s="579" customFormat="1" ht="15.6">
      <c r="A186" s="679" t="s">
        <v>1555</v>
      </c>
      <c r="B186" s="693" t="s">
        <v>745</v>
      </c>
      <c r="C186" s="693" t="s">
        <v>305</v>
      </c>
      <c r="D186" s="693">
        <v>2</v>
      </c>
      <c r="E186" s="693"/>
      <c r="F186" s="684"/>
      <c r="G186" s="578"/>
    </row>
    <row r="187" spans="1:7" s="579" customFormat="1" ht="15.6">
      <c r="A187" s="679" t="s">
        <v>1556</v>
      </c>
      <c r="B187" s="693" t="s">
        <v>746</v>
      </c>
      <c r="C187" s="693" t="s">
        <v>305</v>
      </c>
      <c r="D187" s="693">
        <v>2</v>
      </c>
      <c r="E187" s="693"/>
      <c r="F187" s="684"/>
      <c r="G187" s="578"/>
    </row>
    <row r="188" spans="1:7" s="579" customFormat="1" ht="15.6">
      <c r="A188" s="679" t="s">
        <v>1557</v>
      </c>
      <c r="B188" s="693" t="s">
        <v>747</v>
      </c>
      <c r="C188" s="693" t="s">
        <v>305</v>
      </c>
      <c r="D188" s="693">
        <v>2</v>
      </c>
      <c r="E188" s="693"/>
      <c r="F188" s="684"/>
      <c r="G188" s="578"/>
    </row>
    <row r="189" spans="1:7" s="579" customFormat="1" ht="15.6">
      <c r="A189" s="679" t="s">
        <v>1558</v>
      </c>
      <c r="B189" s="690" t="s">
        <v>748</v>
      </c>
      <c r="C189" s="693" t="s">
        <v>305</v>
      </c>
      <c r="D189" s="693">
        <v>8</v>
      </c>
      <c r="E189" s="693"/>
      <c r="F189" s="684"/>
      <c r="G189" s="578"/>
    </row>
    <row r="190" spans="1:7" s="579" customFormat="1" ht="15.6">
      <c r="A190" s="679" t="s">
        <v>1559</v>
      </c>
      <c r="B190" s="693" t="s">
        <v>749</v>
      </c>
      <c r="C190" s="693" t="s">
        <v>305</v>
      </c>
      <c r="D190" s="693">
        <v>8</v>
      </c>
      <c r="E190" s="693"/>
      <c r="F190" s="684"/>
      <c r="G190" s="578"/>
    </row>
    <row r="191" spans="1:7" s="579" customFormat="1" ht="15.6">
      <c r="A191" s="679" t="s">
        <v>1560</v>
      </c>
      <c r="B191" s="693" t="s">
        <v>750</v>
      </c>
      <c r="C191" s="693" t="s">
        <v>305</v>
      </c>
      <c r="D191" s="693">
        <v>1</v>
      </c>
      <c r="E191" s="693"/>
      <c r="F191" s="684"/>
      <c r="G191" s="578"/>
    </row>
    <row r="192" spans="1:7" s="579" customFormat="1" ht="15.6">
      <c r="A192" s="679" t="s">
        <v>1561</v>
      </c>
      <c r="B192" s="693" t="s">
        <v>751</v>
      </c>
      <c r="C192" s="693" t="s">
        <v>305</v>
      </c>
      <c r="D192" s="693">
        <v>1</v>
      </c>
      <c r="E192" s="693"/>
      <c r="F192" s="684"/>
      <c r="G192" s="578"/>
    </row>
    <row r="193" spans="1:7" s="579" customFormat="1" ht="28.8">
      <c r="A193" s="679" t="s">
        <v>1562</v>
      </c>
      <c r="B193" s="693" t="s">
        <v>752</v>
      </c>
      <c r="C193" s="693" t="s">
        <v>305</v>
      </c>
      <c r="D193" s="693">
        <v>9</v>
      </c>
      <c r="E193" s="693"/>
      <c r="F193" s="684"/>
      <c r="G193" s="578"/>
    </row>
    <row r="194" spans="1:7" s="579" customFormat="1" ht="15.6">
      <c r="A194" s="679" t="s">
        <v>1563</v>
      </c>
      <c r="B194" s="693" t="s">
        <v>753</v>
      </c>
      <c r="C194" s="693" t="s">
        <v>305</v>
      </c>
      <c r="D194" s="693">
        <v>5</v>
      </c>
      <c r="E194" s="693"/>
      <c r="F194" s="684"/>
      <c r="G194" s="578"/>
    </row>
    <row r="195" spans="1:7" s="579" customFormat="1" ht="43.2">
      <c r="A195" s="679" t="s">
        <v>1564</v>
      </c>
      <c r="B195" s="693" t="s">
        <v>764</v>
      </c>
      <c r="C195" s="693" t="s">
        <v>468</v>
      </c>
      <c r="D195" s="693">
        <v>1</v>
      </c>
      <c r="E195" s="693"/>
      <c r="F195" s="684"/>
      <c r="G195" s="578"/>
    </row>
    <row r="196" spans="1:7" s="579" customFormat="1" ht="15.6">
      <c r="A196" s="688" t="s">
        <v>11</v>
      </c>
      <c r="B196" s="693"/>
      <c r="C196" s="693"/>
      <c r="D196" s="693"/>
      <c r="E196" s="693"/>
      <c r="F196" s="696"/>
      <c r="G196" s="578"/>
    </row>
    <row r="197" spans="1:7" s="579" customFormat="1" ht="15.6">
      <c r="A197" s="1359"/>
      <c r="B197" s="1148"/>
      <c r="C197" s="1148"/>
      <c r="D197" s="1148"/>
      <c r="E197" s="1148"/>
      <c r="F197" s="1360"/>
      <c r="G197" s="578"/>
    </row>
    <row r="198" spans="1:7" s="579" customFormat="1" ht="15.6">
      <c r="A198" s="1359"/>
      <c r="B198" s="1148"/>
      <c r="C198" s="1148"/>
      <c r="D198" s="1148"/>
      <c r="E198" s="1148"/>
      <c r="F198" s="1360"/>
      <c r="G198" s="578"/>
    </row>
    <row r="199" spans="1:7" s="579" customFormat="1" ht="15.6">
      <c r="A199" s="1359"/>
      <c r="B199" s="1148"/>
      <c r="C199" s="1148"/>
      <c r="D199" s="1148"/>
      <c r="E199" s="1148"/>
      <c r="F199" s="1360"/>
      <c r="G199" s="578"/>
    </row>
    <row r="200" spans="1:7" s="504" customFormat="1">
      <c r="A200" s="589" t="s">
        <v>260</v>
      </c>
      <c r="B200" s="590" t="s">
        <v>13</v>
      </c>
      <c r="C200" s="591" t="s">
        <v>330</v>
      </c>
      <c r="D200" s="592" t="s">
        <v>331</v>
      </c>
      <c r="E200" s="593" t="s">
        <v>332</v>
      </c>
      <c r="F200" s="594"/>
    </row>
    <row r="201" spans="1:7" s="579" customFormat="1" ht="15.6">
      <c r="A201" s="697" t="s">
        <v>11</v>
      </c>
      <c r="B201" s="1153" t="s">
        <v>754</v>
      </c>
      <c r="C201" s="698" t="s">
        <v>11</v>
      </c>
      <c r="D201" s="698" t="s">
        <v>11</v>
      </c>
      <c r="E201" s="698"/>
      <c r="F201" s="698"/>
      <c r="G201" s="578"/>
    </row>
    <row r="202" spans="1:7" s="579" customFormat="1" ht="28.8">
      <c r="A202" s="697" t="s">
        <v>11</v>
      </c>
      <c r="B202" s="698" t="s">
        <v>755</v>
      </c>
      <c r="C202" s="698" t="s">
        <v>11</v>
      </c>
      <c r="D202" s="698" t="s">
        <v>11</v>
      </c>
      <c r="E202" s="698"/>
      <c r="F202" s="698"/>
      <c r="G202" s="578"/>
    </row>
    <row r="203" spans="1:7" s="579" customFormat="1" ht="72">
      <c r="A203" s="679" t="s">
        <v>1565</v>
      </c>
      <c r="B203" s="698" t="s">
        <v>756</v>
      </c>
      <c r="C203" s="698" t="s">
        <v>304</v>
      </c>
      <c r="D203" s="698">
        <v>12</v>
      </c>
      <c r="E203" s="698"/>
      <c r="F203" s="684"/>
      <c r="G203" s="578"/>
    </row>
    <row r="204" spans="1:7" s="579" customFormat="1" ht="43.2">
      <c r="A204" s="679" t="s">
        <v>1566</v>
      </c>
      <c r="B204" s="698" t="s">
        <v>757</v>
      </c>
      <c r="C204" s="698" t="s">
        <v>305</v>
      </c>
      <c r="D204" s="698">
        <f>D203</f>
        <v>12</v>
      </c>
      <c r="E204" s="698"/>
      <c r="F204" s="684"/>
      <c r="G204" s="578"/>
    </row>
    <row r="205" spans="1:7" s="579" customFormat="1" ht="15.6">
      <c r="A205" s="679" t="s">
        <v>1567</v>
      </c>
      <c r="B205" s="698" t="s">
        <v>758</v>
      </c>
      <c r="C205" s="698" t="s">
        <v>305</v>
      </c>
      <c r="D205" s="698">
        <f>D203</f>
        <v>12</v>
      </c>
      <c r="E205" s="698"/>
      <c r="F205" s="684"/>
      <c r="G205" s="578"/>
    </row>
    <row r="206" spans="1:7" s="579" customFormat="1" ht="15.6">
      <c r="A206" s="679" t="s">
        <v>1568</v>
      </c>
      <c r="B206" s="698" t="s">
        <v>759</v>
      </c>
      <c r="C206" s="698" t="s">
        <v>305</v>
      </c>
      <c r="D206" s="698">
        <f>D203</f>
        <v>12</v>
      </c>
      <c r="E206" s="698"/>
      <c r="F206" s="684"/>
      <c r="G206" s="578"/>
    </row>
    <row r="207" spans="1:7" s="579" customFormat="1" ht="28.8">
      <c r="A207" s="679" t="s">
        <v>1569</v>
      </c>
      <c r="B207" s="698" t="s">
        <v>760</v>
      </c>
      <c r="C207" s="698" t="s">
        <v>305</v>
      </c>
      <c r="D207" s="698">
        <f>D203</f>
        <v>12</v>
      </c>
      <c r="E207" s="698"/>
      <c r="F207" s="684"/>
      <c r="G207" s="578"/>
    </row>
    <row r="208" spans="1:7" s="579" customFormat="1" ht="86.4">
      <c r="A208" s="679" t="s">
        <v>1570</v>
      </c>
      <c r="B208" s="698" t="s">
        <v>761</v>
      </c>
      <c r="C208" s="698" t="s">
        <v>305</v>
      </c>
      <c r="D208" s="698">
        <f>D203</f>
        <v>12</v>
      </c>
      <c r="E208" s="698"/>
      <c r="F208" s="684"/>
      <c r="G208" s="578"/>
    </row>
    <row r="209" spans="1:7" s="579" customFormat="1" ht="15.6">
      <c r="A209" s="679" t="s">
        <v>1571</v>
      </c>
      <c r="B209" s="698" t="s">
        <v>762</v>
      </c>
      <c r="C209" s="698" t="s">
        <v>305</v>
      </c>
      <c r="D209" s="698">
        <f>D203</f>
        <v>12</v>
      </c>
      <c r="E209" s="698"/>
      <c r="F209" s="684"/>
      <c r="G209" s="578"/>
    </row>
    <row r="210" spans="1:7" s="582" customFormat="1" ht="57.6">
      <c r="A210" s="679" t="s">
        <v>1572</v>
      </c>
      <c r="B210" s="1119" t="s">
        <v>1579</v>
      </c>
      <c r="C210" s="698" t="s">
        <v>305</v>
      </c>
      <c r="D210" s="698">
        <v>3</v>
      </c>
      <c r="E210" s="698"/>
      <c r="F210" s="684"/>
      <c r="G210" s="581"/>
    </row>
    <row r="211" spans="1:7" s="582" customFormat="1" ht="43.2">
      <c r="A211" s="679" t="s">
        <v>1573</v>
      </c>
      <c r="B211" s="698" t="s">
        <v>763</v>
      </c>
      <c r="C211" s="698" t="s">
        <v>304</v>
      </c>
      <c r="D211" s="698">
        <v>3</v>
      </c>
      <c r="E211" s="698"/>
      <c r="F211" s="684"/>
      <c r="G211" s="581"/>
    </row>
    <row r="212" spans="1:7" s="582" customFormat="1" ht="15.6">
      <c r="A212" s="697"/>
      <c r="B212" s="694" t="s">
        <v>694</v>
      </c>
      <c r="C212" s="698"/>
      <c r="D212" s="698"/>
      <c r="E212" s="698"/>
      <c r="F212" s="695"/>
      <c r="G212" s="581"/>
    </row>
    <row r="213" spans="1:7" s="582" customFormat="1" ht="15.6">
      <c r="A213" s="1115"/>
      <c r="B213" s="1116"/>
      <c r="C213" s="1117"/>
      <c r="D213" s="1117"/>
      <c r="E213" s="1117"/>
      <c r="F213" s="1118"/>
      <c r="G213" s="581"/>
    </row>
    <row r="214" spans="1:7" s="582" customFormat="1" ht="31.2">
      <c r="A214" s="1137" t="s">
        <v>1574</v>
      </c>
      <c r="B214" s="655" t="s">
        <v>1578</v>
      </c>
      <c r="C214" s="1117"/>
      <c r="D214" s="1117"/>
      <c r="E214" s="1117"/>
      <c r="F214" s="1118"/>
      <c r="G214" s="581"/>
    </row>
    <row r="215" spans="1:7" s="582" customFormat="1" ht="15.6">
      <c r="A215" s="1115"/>
      <c r="B215" s="1116" t="s">
        <v>1499</v>
      </c>
      <c r="C215" s="1117"/>
      <c r="D215" s="1117"/>
      <c r="E215" s="1117"/>
      <c r="F215" s="1118"/>
      <c r="G215" s="581"/>
    </row>
    <row r="216" spans="1:7" s="582" customFormat="1" ht="72">
      <c r="A216" s="1115"/>
      <c r="B216" s="1119" t="s">
        <v>1500</v>
      </c>
      <c r="C216" s="1117"/>
      <c r="D216" s="1120" t="s">
        <v>1501</v>
      </c>
      <c r="E216" s="1117"/>
      <c r="F216" s="1118"/>
      <c r="G216" s="581"/>
    </row>
    <row r="217" spans="1:7" s="582" customFormat="1" ht="15.6">
      <c r="A217" s="1115"/>
      <c r="B217" s="694" t="s">
        <v>694</v>
      </c>
      <c r="C217" s="698"/>
      <c r="D217" s="698"/>
      <c r="E217" s="698"/>
      <c r="F217" s="695"/>
      <c r="G217" s="581"/>
    </row>
    <row r="218" spans="1:7" s="582" customFormat="1" ht="15.6">
      <c r="A218" s="1115"/>
      <c r="B218" s="1116"/>
      <c r="C218" s="1117"/>
      <c r="D218" s="1117"/>
      <c r="E218" s="1117"/>
      <c r="F218" s="1118"/>
      <c r="G218" s="581"/>
    </row>
    <row r="219" spans="1:7" s="582" customFormat="1">
      <c r="A219" s="699"/>
      <c r="B219" s="693"/>
      <c r="C219" s="700"/>
      <c r="D219" s="700"/>
      <c r="E219" s="700"/>
      <c r="F219" s="701"/>
      <c r="G219" s="581"/>
    </row>
    <row r="220" spans="1:7" s="582" customFormat="1">
      <c r="A220" s="699"/>
      <c r="B220" s="702" t="s">
        <v>669</v>
      </c>
      <c r="C220" s="700"/>
      <c r="D220" s="700"/>
      <c r="E220" s="700"/>
      <c r="F220" s="701"/>
      <c r="G220" s="581"/>
    </row>
    <row r="221" spans="1:7" s="582" customFormat="1">
      <c r="A221" s="699"/>
      <c r="B221" s="693"/>
      <c r="C221" s="700"/>
      <c r="D221" s="700"/>
      <c r="E221" s="700"/>
      <c r="F221" s="701"/>
      <c r="G221" s="581"/>
    </row>
    <row r="222" spans="1:7" s="582" customFormat="1">
      <c r="A222" s="699">
        <f>A7</f>
        <v>10.1</v>
      </c>
      <c r="B222" s="693" t="str">
        <f>B7</f>
        <v>ELEMENT NO. 1 : SUB-STRUCTURES (all provisional)</v>
      </c>
      <c r="C222" s="700"/>
      <c r="D222" s="700"/>
      <c r="E222" s="700"/>
      <c r="F222" s="701"/>
      <c r="G222" s="581"/>
    </row>
    <row r="223" spans="1:7" s="582" customFormat="1">
      <c r="A223" s="699">
        <f>A55</f>
        <v>10.199999999999999</v>
      </c>
      <c r="B223" s="693" t="str">
        <f>B55</f>
        <v>ELEMENT NO. 2: SUPER STRUCTURE CONCRETE</v>
      </c>
      <c r="C223" s="700"/>
      <c r="D223" s="700"/>
      <c r="E223" s="700"/>
      <c r="F223" s="701"/>
      <c r="G223" s="581"/>
    </row>
    <row r="224" spans="1:7" s="582" customFormat="1">
      <c r="A224" s="699">
        <f>A68</f>
        <v>10.3</v>
      </c>
      <c r="B224" s="693" t="str">
        <f>B68</f>
        <v>ELEMENT NO. 3 SUPERSTRUCTURE WALLING</v>
      </c>
      <c r="C224" s="700"/>
      <c r="D224" s="700"/>
      <c r="E224" s="700"/>
      <c r="F224" s="701"/>
      <c r="G224" s="581"/>
    </row>
    <row r="225" spans="1:7" s="582" customFormat="1">
      <c r="A225" s="699">
        <f>A78</f>
        <v>10.4</v>
      </c>
      <c r="B225" s="693" t="str">
        <f>B78</f>
        <v>ELEMENT NO. 4 ROOFING</v>
      </c>
      <c r="C225" s="700"/>
      <c r="D225" s="700"/>
      <c r="E225" s="700"/>
      <c r="F225" s="701"/>
      <c r="G225" s="581"/>
    </row>
    <row r="226" spans="1:7" s="582" customFormat="1">
      <c r="A226" s="699">
        <f>A108</f>
        <v>10.5</v>
      </c>
      <c r="B226" s="693" t="str">
        <f>B108</f>
        <v>ELEMENT NO. 5 DOORS AND IRONMONGERY</v>
      </c>
      <c r="C226" s="700"/>
      <c r="D226" s="700"/>
      <c r="E226" s="700"/>
      <c r="F226" s="701"/>
      <c r="G226" s="581"/>
    </row>
    <row r="227" spans="1:7" s="582" customFormat="1">
      <c r="A227" s="699">
        <f>A124</f>
        <v>10.6</v>
      </c>
      <c r="B227" s="693" t="str">
        <f>B124</f>
        <v>ELEMENT NO. 6 WINDOWS</v>
      </c>
      <c r="C227" s="700"/>
      <c r="D227" s="700"/>
      <c r="E227" s="700"/>
      <c r="F227" s="701"/>
      <c r="G227" s="581"/>
    </row>
    <row r="228" spans="1:7" s="584" customFormat="1">
      <c r="A228" s="699">
        <f>A132</f>
        <v>10.7</v>
      </c>
      <c r="B228" s="693" t="str">
        <f>B132</f>
        <v>ELEMENT NO. 7 FLOOR FINISHES</v>
      </c>
      <c r="C228" s="700"/>
      <c r="D228" s="700"/>
      <c r="E228" s="700"/>
      <c r="F228" s="701"/>
      <c r="G228" s="583"/>
    </row>
    <row r="229" spans="1:7" s="584" customFormat="1">
      <c r="A229" s="1149">
        <f>A141</f>
        <v>10.8</v>
      </c>
      <c r="B229" s="1150" t="str">
        <f>B141</f>
        <v>ELEMENT NO. 8: ELECTRICAL INSTALLATIONS AND SERVICES</v>
      </c>
      <c r="C229" s="1151"/>
      <c r="D229" s="1151"/>
      <c r="E229" s="1151"/>
      <c r="F229" s="1152"/>
      <c r="G229" s="583"/>
    </row>
    <row r="230" spans="1:7" s="584" customFormat="1" ht="29.25" customHeight="1">
      <c r="A230" s="1149">
        <f>A157</f>
        <v>10.9</v>
      </c>
      <c r="B230" s="1150" t="str">
        <f>B157</f>
        <v>ELEMENT NO. 9: MECHANICAL INSTALLATIONS AND SERVICES</v>
      </c>
      <c r="C230" s="1151"/>
      <c r="D230" s="1151"/>
      <c r="E230" s="1151"/>
      <c r="F230" s="1152"/>
      <c r="G230" s="583"/>
    </row>
    <row r="231" spans="1:7" s="584" customFormat="1" ht="15.75" customHeight="1">
      <c r="A231" s="1149" t="str">
        <f>A214</f>
        <v>10.10</v>
      </c>
      <c r="B231" s="1150" t="str">
        <f>B214</f>
        <v>ELEMENT NO. 10: RENOVATION OF EXISTING STAFF TOILET</v>
      </c>
      <c r="C231" s="1151"/>
      <c r="D231" s="1151"/>
      <c r="E231" s="1151"/>
      <c r="F231" s="1152"/>
      <c r="G231" s="583"/>
    </row>
    <row r="232" spans="1:7">
      <c r="A232" s="699"/>
      <c r="B232" s="693"/>
      <c r="C232" s="700"/>
      <c r="D232" s="700"/>
      <c r="E232" s="700"/>
      <c r="F232" s="701"/>
    </row>
    <row r="233" spans="1:7">
      <c r="A233" s="638"/>
      <c r="B233" s="702" t="s">
        <v>765</v>
      </c>
      <c r="C233" s="703"/>
      <c r="D233" s="703"/>
      <c r="E233" s="703"/>
      <c r="F233" s="704"/>
    </row>
    <row r="234" spans="1:7">
      <c r="A234" s="585"/>
      <c r="B234" s="580"/>
      <c r="C234" s="586"/>
      <c r="D234" s="586"/>
      <c r="E234" s="586"/>
      <c r="F234" s="586"/>
    </row>
  </sheetData>
  <pageMargins left="0.7" right="0.7" top="0.75" bottom="0.75" header="0.3" footer="0.3"/>
  <pageSetup scale="72" orientation="portrait" r:id="rId1"/>
  <rowBreaks count="3" manualBreakCount="3">
    <brk id="40" max="5" man="1"/>
    <brk id="130" max="5" man="1"/>
    <brk id="155"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29"/>
  <sheetViews>
    <sheetView view="pageBreakPreview" zoomScale="107" zoomScaleNormal="100" zoomScaleSheetLayoutView="107" workbookViewId="0">
      <pane xSplit="2" ySplit="1" topLeftCell="C2" activePane="bottomRight" state="frozen"/>
      <selection pane="topRight" activeCell="C1" sqref="C1"/>
      <selection pane="bottomLeft" activeCell="A2" sqref="A2"/>
      <selection pane="bottomRight" activeCell="F122" sqref="F122"/>
    </sheetView>
  </sheetViews>
  <sheetFormatPr defaultColWidth="8.88671875" defaultRowHeight="14.4"/>
  <cols>
    <col min="1" max="1" width="7.88671875" style="423" customWidth="1"/>
    <col min="2" max="2" width="56.5546875" style="504" customWidth="1"/>
    <col min="3" max="3" width="8.88671875" style="504"/>
    <col min="4" max="4" width="6.88671875" style="504" bestFit="1" customWidth="1"/>
    <col min="5" max="5" width="8.5546875" style="504" customWidth="1"/>
    <col min="6" max="6" width="16" style="504" customWidth="1"/>
    <col min="7" max="16384" width="8.88671875" style="504"/>
  </cols>
  <sheetData>
    <row r="1" spans="1:6">
      <c r="A1" s="806" t="s">
        <v>260</v>
      </c>
      <c r="B1" s="807" t="s">
        <v>13</v>
      </c>
      <c r="C1" s="808" t="s">
        <v>330</v>
      </c>
      <c r="D1" s="809" t="s">
        <v>331</v>
      </c>
      <c r="E1" s="810" t="s">
        <v>332</v>
      </c>
      <c r="F1" s="811"/>
    </row>
    <row r="2" spans="1:6">
      <c r="A2" s="54"/>
      <c r="B2" s="15" t="str">
        <f>'1 Preliminaries '!B2</f>
        <v>PROPOSED MALE TRANSITION CENTER - BAIDOA</v>
      </c>
      <c r="C2" s="30"/>
      <c r="D2" s="35"/>
      <c r="E2" s="51"/>
      <c r="F2" s="55"/>
    </row>
    <row r="3" spans="1:6">
      <c r="A3" s="54"/>
      <c r="B3" s="31" t="s">
        <v>1580</v>
      </c>
      <c r="C3" s="30"/>
      <c r="D3" s="35"/>
      <c r="E3" s="51"/>
      <c r="F3" s="55"/>
    </row>
    <row r="4" spans="1:6">
      <c r="A4" s="54"/>
      <c r="B4" s="31"/>
      <c r="C4" s="30"/>
      <c r="D4" s="35"/>
      <c r="E4" s="51"/>
      <c r="F4" s="55"/>
    </row>
    <row r="5" spans="1:6">
      <c r="A5" s="422">
        <v>11</v>
      </c>
      <c r="B5" s="212" t="s">
        <v>1581</v>
      </c>
      <c r="C5" s="16"/>
      <c r="D5" s="17"/>
      <c r="E5" s="36"/>
      <c r="F5" s="56"/>
    </row>
    <row r="6" spans="1:6">
      <c r="A6" s="422"/>
      <c r="B6" s="212"/>
      <c r="C6" s="752"/>
      <c r="D6" s="753"/>
      <c r="E6" s="754"/>
      <c r="F6" s="755"/>
    </row>
    <row r="7" spans="1:6">
      <c r="A7" s="422">
        <v>11.1</v>
      </c>
      <c r="B7" s="212" t="s">
        <v>1618</v>
      </c>
      <c r="C7" s="16"/>
      <c r="D7" s="17"/>
      <c r="E7" s="36"/>
      <c r="F7" s="56"/>
    </row>
    <row r="8" spans="1:6" ht="43.2">
      <c r="A8" s="426" t="s">
        <v>1582</v>
      </c>
      <c r="B8" s="427" t="s">
        <v>1444</v>
      </c>
      <c r="C8" s="205" t="s">
        <v>465</v>
      </c>
      <c r="D8" s="151">
        <f>313</f>
        <v>313</v>
      </c>
      <c r="E8" s="152"/>
      <c r="F8" s="190"/>
    </row>
    <row r="9" spans="1:6" ht="15.6">
      <c r="A9" s="1080"/>
      <c r="B9" s="1056"/>
      <c r="C9" s="1081"/>
      <c r="D9" s="1048"/>
      <c r="E9" s="1049"/>
      <c r="F9" s="1082"/>
    </row>
    <row r="10" spans="1:6">
      <c r="A10" s="1080"/>
      <c r="B10" s="761" t="s">
        <v>1002</v>
      </c>
      <c r="C10" s="219"/>
      <c r="D10" s="220"/>
      <c r="E10" s="221"/>
      <c r="F10" s="216"/>
    </row>
    <row r="11" spans="1:6">
      <c r="A11" s="756"/>
      <c r="B11" s="23"/>
      <c r="C11" s="25"/>
      <c r="D11" s="25"/>
      <c r="E11" s="757"/>
      <c r="F11" s="758"/>
    </row>
    <row r="12" spans="1:6">
      <c r="A12" s="548"/>
      <c r="B12" s="549"/>
      <c r="C12" s="547"/>
      <c r="D12" s="547"/>
      <c r="E12" s="547"/>
      <c r="F12" s="576"/>
    </row>
    <row r="13" spans="1:6" ht="15.6">
      <c r="A13" s="760">
        <v>11.2</v>
      </c>
      <c r="B13" s="202" t="s">
        <v>1619</v>
      </c>
      <c r="C13" s="770"/>
      <c r="D13" s="770"/>
      <c r="E13" s="770"/>
      <c r="F13" s="577"/>
    </row>
    <row r="14" spans="1:6" s="66" customFormat="1">
      <c r="A14" s="1169"/>
      <c r="B14" s="1170" t="s">
        <v>1100</v>
      </c>
      <c r="C14" s="1171"/>
      <c r="D14" s="1172"/>
      <c r="E14" s="1171"/>
      <c r="F14" s="1173"/>
    </row>
    <row r="15" spans="1:6" s="1178" customFormat="1">
      <c r="A15" s="1174" t="s">
        <v>1320</v>
      </c>
      <c r="B15" s="1062" t="s">
        <v>1101</v>
      </c>
      <c r="C15" s="1175" t="s">
        <v>282</v>
      </c>
      <c r="D15" s="1176">
        <f>CEILING((21.2)*0.4*0.4,1)</f>
        <v>4</v>
      </c>
      <c r="E15" s="1175"/>
      <c r="F15" s="1177"/>
    </row>
    <row r="16" spans="1:6" s="1178" customFormat="1">
      <c r="A16" s="1174"/>
      <c r="B16" s="1062" t="s">
        <v>1675</v>
      </c>
      <c r="C16" s="1175" t="s">
        <v>282</v>
      </c>
      <c r="D16" s="1179">
        <f>CEILING(27.5*0.15,1)</f>
        <v>5</v>
      </c>
      <c r="E16" s="1180"/>
      <c r="F16" s="1181"/>
    </row>
    <row r="17" spans="1:7" s="1178" customFormat="1">
      <c r="A17" s="1174"/>
      <c r="B17" s="1182"/>
      <c r="C17" s="1175"/>
      <c r="D17" s="1206"/>
      <c r="E17" s="1207"/>
      <c r="F17" s="1208"/>
    </row>
    <row r="18" spans="1:7" s="66" customFormat="1">
      <c r="A18" s="1169"/>
      <c r="B18" s="1170" t="s">
        <v>534</v>
      </c>
      <c r="C18" s="1171"/>
      <c r="D18" s="1172"/>
      <c r="E18" s="1171"/>
      <c r="F18" s="1173"/>
    </row>
    <row r="19" spans="1:7" s="66" customFormat="1">
      <c r="A19" s="1169"/>
      <c r="B19" s="1170" t="s">
        <v>535</v>
      </c>
      <c r="C19" s="1171"/>
      <c r="D19" s="1172"/>
      <c r="E19" s="1171"/>
      <c r="F19" s="1173"/>
    </row>
    <row r="20" spans="1:7" s="66" customFormat="1">
      <c r="A20" s="1169" t="s">
        <v>1321</v>
      </c>
      <c r="B20" s="1183" t="s">
        <v>1102</v>
      </c>
      <c r="C20" s="1171" t="s">
        <v>287</v>
      </c>
      <c r="D20" s="1048">
        <f>CEILING((21.2)/0.2*0.7*0.395,1)</f>
        <v>30</v>
      </c>
      <c r="E20" s="1171"/>
      <c r="F20" s="1173"/>
    </row>
    <row r="21" spans="1:7" s="66" customFormat="1">
      <c r="A21" s="1169" t="s">
        <v>1322</v>
      </c>
      <c r="B21" s="1183" t="s">
        <v>1103</v>
      </c>
      <c r="C21" s="1171" t="s">
        <v>287</v>
      </c>
      <c r="D21" s="1048">
        <f>CEILING((21.2)*4*1.15*0.888,1)</f>
        <v>87</v>
      </c>
      <c r="E21" s="1171"/>
      <c r="F21" s="1173"/>
    </row>
    <row r="22" spans="1:7" s="66" customFormat="1">
      <c r="A22" s="1169"/>
      <c r="B22" s="1184" t="s">
        <v>1104</v>
      </c>
      <c r="C22" s="1171"/>
      <c r="D22" s="1172"/>
      <c r="E22" s="1171"/>
      <c r="F22" s="1173"/>
    </row>
    <row r="23" spans="1:7" s="66" customFormat="1">
      <c r="A23" s="1169" t="s">
        <v>1323</v>
      </c>
      <c r="B23" s="1183" t="s">
        <v>1105</v>
      </c>
      <c r="C23" s="1171" t="s">
        <v>8</v>
      </c>
      <c r="D23" s="1048">
        <f>CEILING((21.2)*2*0.2,1)</f>
        <v>9</v>
      </c>
      <c r="E23" s="1171"/>
      <c r="F23" s="1173"/>
    </row>
    <row r="24" spans="1:7" s="66" customFormat="1">
      <c r="A24" s="1169"/>
      <c r="B24" s="1183" t="s">
        <v>1684</v>
      </c>
      <c r="C24" s="1171" t="s">
        <v>8</v>
      </c>
      <c r="D24" s="1048">
        <v>28</v>
      </c>
      <c r="E24" s="1171"/>
      <c r="F24" s="1173"/>
    </row>
    <row r="25" spans="1:7" ht="15.6">
      <c r="A25" s="760"/>
      <c r="B25" s="1154"/>
      <c r="C25" s="770"/>
      <c r="D25" s="770"/>
      <c r="E25" s="770"/>
      <c r="F25" s="577"/>
    </row>
    <row r="26" spans="1:7" s="176" customFormat="1" ht="15.6">
      <c r="A26" s="646"/>
      <c r="B26" s="632" t="s">
        <v>301</v>
      </c>
      <c r="C26" s="632"/>
      <c r="D26" s="633"/>
      <c r="E26" s="633"/>
      <c r="F26" s="640"/>
      <c r="G26" s="175"/>
    </row>
    <row r="27" spans="1:7" s="176" customFormat="1" ht="15.6">
      <c r="A27" s="647"/>
      <c r="B27" s="648" t="s">
        <v>626</v>
      </c>
      <c r="C27" s="649"/>
      <c r="D27" s="649"/>
      <c r="E27" s="649"/>
      <c r="F27" s="640"/>
      <c r="G27" s="175"/>
    </row>
    <row r="28" spans="1:7" s="182" customFormat="1" ht="31.2">
      <c r="A28" s="548" t="s">
        <v>1620</v>
      </c>
      <c r="B28" s="650" t="s">
        <v>627</v>
      </c>
      <c r="C28" s="649" t="s">
        <v>628</v>
      </c>
      <c r="D28" s="651">
        <v>17</v>
      </c>
      <c r="E28" s="649"/>
      <c r="F28" s="640"/>
      <c r="G28" s="181"/>
    </row>
    <row r="29" spans="1:7">
      <c r="A29" s="548"/>
      <c r="B29" s="1155"/>
      <c r="C29" s="1053"/>
      <c r="D29" s="1054"/>
      <c r="E29" s="1055"/>
      <c r="F29" s="1092"/>
    </row>
    <row r="30" spans="1:7">
      <c r="A30" s="760"/>
      <c r="B30" s="762" t="s">
        <v>993</v>
      </c>
      <c r="C30" s="763"/>
      <c r="D30" s="763"/>
      <c r="E30" s="764"/>
      <c r="F30" s="765"/>
    </row>
    <row r="31" spans="1:7" ht="28.8">
      <c r="A31" s="548" t="s">
        <v>1621</v>
      </c>
      <c r="B31" s="769" t="s">
        <v>1448</v>
      </c>
      <c r="C31" s="763"/>
      <c r="D31" s="763">
        <f>CEILING(((21.2*2)*3.3),1)</f>
        <v>140</v>
      </c>
      <c r="E31" s="771"/>
      <c r="F31" s="772"/>
    </row>
    <row r="32" spans="1:7" ht="16.2">
      <c r="A32" s="548" t="s">
        <v>1622</v>
      </c>
      <c r="B32" s="769" t="s">
        <v>995</v>
      </c>
      <c r="C32" s="770" t="s">
        <v>925</v>
      </c>
      <c r="D32" s="763">
        <f>CEILING(((21.2)*3.3),1)</f>
        <v>70</v>
      </c>
      <c r="E32" s="771"/>
      <c r="F32" s="772"/>
    </row>
    <row r="33" spans="1:198" ht="16.2">
      <c r="A33" s="548" t="s">
        <v>1623</v>
      </c>
      <c r="B33" s="769" t="s">
        <v>996</v>
      </c>
      <c r="C33" s="770" t="s">
        <v>925</v>
      </c>
      <c r="D33" s="763">
        <f t="shared" ref="D33" si="0">CEILING(((21.2)*3.3),1)</f>
        <v>70</v>
      </c>
      <c r="E33" s="771"/>
      <c r="F33" s="772"/>
    </row>
    <row r="34" spans="1:198">
      <c r="A34" s="548"/>
      <c r="B34" s="769"/>
      <c r="C34" s="770"/>
      <c r="D34" s="763"/>
      <c r="E34" s="771"/>
      <c r="F34" s="772"/>
    </row>
    <row r="35" spans="1:198">
      <c r="A35" s="768"/>
      <c r="B35" s="761" t="s">
        <v>1002</v>
      </c>
      <c r="C35" s="219"/>
      <c r="D35" s="220"/>
      <c r="E35" s="221"/>
      <c r="F35" s="216"/>
    </row>
    <row r="36" spans="1:198">
      <c r="A36" s="768"/>
      <c r="B36" s="761"/>
      <c r="C36" s="1053"/>
      <c r="D36" s="1054"/>
      <c r="E36" s="1055"/>
      <c r="F36" s="1092"/>
    </row>
    <row r="37" spans="1:198" ht="15.6">
      <c r="A37" s="760">
        <v>11.3</v>
      </c>
      <c r="B37" s="202" t="s">
        <v>1624</v>
      </c>
      <c r="C37" s="770"/>
      <c r="D37" s="763"/>
      <c r="E37" s="771"/>
      <c r="F37" s="772"/>
    </row>
    <row r="38" spans="1:198">
      <c r="A38" s="760"/>
      <c r="B38" s="761" t="s">
        <v>1449</v>
      </c>
      <c r="C38" s="773"/>
      <c r="D38" s="773"/>
      <c r="E38" s="774"/>
      <c r="F38" s="765"/>
    </row>
    <row r="39" spans="1:198" s="161" customFormat="1" ht="31.2">
      <c r="A39" s="548" t="s">
        <v>1583</v>
      </c>
      <c r="B39" s="164" t="s">
        <v>608</v>
      </c>
      <c r="C39" s="163" t="s">
        <v>8</v>
      </c>
      <c r="D39" s="165">
        <f>CEILING(35*1.15,1)</f>
        <v>41</v>
      </c>
      <c r="E39" s="157"/>
      <c r="F39" s="158"/>
      <c r="G39" s="159"/>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0"/>
      <c r="DB39" s="160"/>
      <c r="DC39" s="160"/>
      <c r="DD39" s="160"/>
      <c r="DE39" s="160"/>
      <c r="DF39" s="160"/>
      <c r="DG39" s="160"/>
      <c r="DH39" s="160"/>
      <c r="DI39" s="160"/>
      <c r="DJ39" s="160"/>
      <c r="DK39" s="160"/>
      <c r="DL39" s="160"/>
      <c r="DM39" s="160"/>
      <c r="DN39" s="160"/>
      <c r="DO39" s="160"/>
      <c r="DP39" s="160"/>
      <c r="DQ39" s="160"/>
      <c r="DR39" s="160"/>
      <c r="DS39" s="160"/>
      <c r="DT39" s="160"/>
      <c r="DU39" s="160"/>
      <c r="DV39" s="160"/>
      <c r="DW39" s="160"/>
      <c r="DX39" s="160"/>
      <c r="DY39" s="160"/>
      <c r="DZ39" s="160"/>
      <c r="EA39" s="160"/>
      <c r="EB39" s="160"/>
      <c r="EC39" s="160"/>
      <c r="ED39" s="160"/>
      <c r="EE39" s="160"/>
      <c r="EF39" s="160"/>
      <c r="EG39" s="160"/>
      <c r="EH39" s="160"/>
      <c r="EI39" s="160"/>
      <c r="EJ39" s="160"/>
      <c r="EK39" s="160"/>
      <c r="EL39" s="160"/>
      <c r="EM39" s="160"/>
      <c r="EN39" s="160"/>
      <c r="EO39" s="160"/>
      <c r="EP39" s="160"/>
      <c r="EQ39" s="160"/>
      <c r="ER39" s="160"/>
      <c r="ES39" s="160"/>
      <c r="ET39" s="160"/>
      <c r="EU39" s="160"/>
      <c r="EV39" s="160"/>
      <c r="EW39" s="160"/>
      <c r="EX39" s="160"/>
      <c r="EY39" s="160"/>
      <c r="EZ39" s="160"/>
      <c r="FA39" s="160"/>
      <c r="FB39" s="160"/>
      <c r="FC39" s="160"/>
      <c r="FD39" s="160"/>
      <c r="FE39" s="160"/>
      <c r="FF39" s="160"/>
      <c r="FG39" s="160"/>
      <c r="FH39" s="160"/>
      <c r="FI39" s="160"/>
      <c r="FJ39" s="160"/>
      <c r="FK39" s="160"/>
      <c r="FL39" s="160"/>
      <c r="FM39" s="160"/>
      <c r="FN39" s="160"/>
      <c r="FO39" s="160"/>
      <c r="FP39" s="160"/>
      <c r="FQ39" s="160"/>
      <c r="FR39" s="160"/>
      <c r="FS39" s="160"/>
      <c r="FT39" s="160"/>
      <c r="FU39" s="160"/>
      <c r="FV39" s="160"/>
      <c r="FW39" s="160"/>
      <c r="FX39" s="160"/>
      <c r="FY39" s="160"/>
      <c r="FZ39" s="160"/>
      <c r="GA39" s="160"/>
      <c r="GB39" s="160"/>
      <c r="GC39" s="160"/>
      <c r="GD39" s="160"/>
      <c r="GE39" s="160"/>
      <c r="GF39" s="160"/>
      <c r="GG39" s="160"/>
      <c r="GH39" s="160"/>
      <c r="GI39" s="160"/>
      <c r="GJ39" s="160"/>
      <c r="GK39" s="160"/>
      <c r="GL39" s="160"/>
      <c r="GM39" s="160"/>
      <c r="GN39" s="160"/>
      <c r="GO39" s="160"/>
      <c r="GP39" s="160"/>
    </row>
    <row r="40" spans="1:198" s="161" customFormat="1" ht="31.2">
      <c r="A40" s="1083"/>
      <c r="B40" s="162" t="s">
        <v>607</v>
      </c>
      <c r="C40" s="1084"/>
      <c r="D40" s="1085"/>
      <c r="E40" s="1086"/>
      <c r="F40" s="1087"/>
      <c r="G40" s="159"/>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60"/>
      <c r="CL40" s="160"/>
      <c r="CM40" s="160"/>
      <c r="CN40" s="160"/>
      <c r="CO40" s="160"/>
      <c r="CP40" s="160"/>
      <c r="CQ40" s="160"/>
      <c r="CR40" s="160"/>
      <c r="CS40" s="160"/>
      <c r="CT40" s="160"/>
      <c r="CU40" s="160"/>
      <c r="CV40" s="160"/>
      <c r="CW40" s="160"/>
      <c r="CX40" s="160"/>
      <c r="CY40" s="160"/>
      <c r="CZ40" s="160"/>
      <c r="DA40" s="160"/>
      <c r="DB40" s="160"/>
      <c r="DC40" s="160"/>
      <c r="DD40" s="160"/>
      <c r="DE40" s="160"/>
      <c r="DF40" s="160"/>
      <c r="DG40" s="160"/>
      <c r="DH40" s="160"/>
      <c r="DI40" s="160"/>
      <c r="DJ40" s="160"/>
      <c r="DK40" s="160"/>
      <c r="DL40" s="160"/>
      <c r="DM40" s="160"/>
      <c r="DN40" s="160"/>
      <c r="DO40" s="160"/>
      <c r="DP40" s="160"/>
      <c r="DQ40" s="160"/>
      <c r="DR40" s="160"/>
      <c r="DS40" s="160"/>
      <c r="DT40" s="160"/>
      <c r="DU40" s="160"/>
      <c r="DV40" s="160"/>
      <c r="DW40" s="160"/>
      <c r="DX40" s="160"/>
      <c r="DY40" s="160"/>
      <c r="DZ40" s="160"/>
      <c r="EA40" s="160"/>
      <c r="EB40" s="160"/>
      <c r="EC40" s="160"/>
      <c r="ED40" s="160"/>
      <c r="EE40" s="160"/>
      <c r="EF40" s="160"/>
      <c r="EG40" s="160"/>
      <c r="EH40" s="160"/>
      <c r="EI40" s="160"/>
      <c r="EJ40" s="160"/>
      <c r="EK40" s="160"/>
      <c r="EL40" s="160"/>
      <c r="EM40" s="160"/>
      <c r="EN40" s="160"/>
      <c r="EO40" s="160"/>
      <c r="EP40" s="160"/>
      <c r="EQ40" s="160"/>
      <c r="ER40" s="160"/>
      <c r="ES40" s="160"/>
      <c r="ET40" s="160"/>
      <c r="EU40" s="160"/>
      <c r="EV40" s="160"/>
      <c r="EW40" s="160"/>
      <c r="EX40" s="160"/>
      <c r="EY40" s="160"/>
      <c r="EZ40" s="160"/>
      <c r="FA40" s="160"/>
      <c r="FB40" s="160"/>
      <c r="FC40" s="160"/>
      <c r="FD40" s="160"/>
      <c r="FE40" s="160"/>
      <c r="FF40" s="160"/>
      <c r="FG40" s="160"/>
      <c r="FH40" s="160"/>
      <c r="FI40" s="160"/>
      <c r="FJ40" s="160"/>
      <c r="FK40" s="160"/>
      <c r="FL40" s="160"/>
      <c r="FM40" s="160"/>
      <c r="FN40" s="160"/>
      <c r="FO40" s="160"/>
      <c r="FP40" s="160"/>
      <c r="FQ40" s="160"/>
      <c r="FR40" s="160"/>
      <c r="FS40" s="160"/>
      <c r="FT40" s="160"/>
      <c r="FU40" s="160"/>
      <c r="FV40" s="160"/>
      <c r="FW40" s="160"/>
      <c r="FX40" s="160"/>
      <c r="FY40" s="160"/>
      <c r="FZ40" s="160"/>
      <c r="GA40" s="160"/>
      <c r="GB40" s="160"/>
      <c r="GC40" s="160"/>
      <c r="GD40" s="160"/>
      <c r="GE40" s="160"/>
      <c r="GF40" s="160"/>
      <c r="GG40" s="160"/>
      <c r="GH40" s="160"/>
      <c r="GI40" s="160"/>
      <c r="GJ40" s="160"/>
      <c r="GK40" s="160"/>
      <c r="GL40" s="160"/>
      <c r="GM40" s="160"/>
      <c r="GN40" s="160"/>
      <c r="GO40" s="160"/>
      <c r="GP40" s="160"/>
    </row>
    <row r="41" spans="1:198" s="176" customFormat="1" ht="15.6">
      <c r="A41" s="548" t="s">
        <v>1584</v>
      </c>
      <c r="B41" s="173" t="s">
        <v>692</v>
      </c>
      <c r="C41" s="173" t="s">
        <v>9</v>
      </c>
      <c r="D41" s="173">
        <f>CEILING(11*4,1)</f>
        <v>44</v>
      </c>
      <c r="E41" s="173"/>
      <c r="F41" s="158"/>
      <c r="G41" s="175"/>
    </row>
    <row r="42" spans="1:198" s="176" customFormat="1" ht="15.6">
      <c r="A42" s="548" t="s">
        <v>1585</v>
      </c>
      <c r="B42" s="173" t="s">
        <v>691</v>
      </c>
      <c r="C42" s="173" t="s">
        <v>9</v>
      </c>
      <c r="D42" s="173">
        <f>CEILING(5.35*4,1)</f>
        <v>22</v>
      </c>
      <c r="E42" s="173"/>
      <c r="F42" s="158"/>
      <c r="G42" s="175"/>
    </row>
    <row r="43" spans="1:198" s="176" customFormat="1" ht="15.6">
      <c r="A43" s="548" t="s">
        <v>1586</v>
      </c>
      <c r="B43" s="173" t="s">
        <v>327</v>
      </c>
      <c r="C43" s="173" t="s">
        <v>9</v>
      </c>
      <c r="D43" s="173">
        <f>CEILING(7*6,1)</f>
        <v>42</v>
      </c>
      <c r="E43" s="173"/>
      <c r="F43" s="158"/>
      <c r="G43" s="175"/>
    </row>
    <row r="44" spans="1:198" s="176" customFormat="1" ht="15.6">
      <c r="A44" s="548" t="s">
        <v>1587</v>
      </c>
      <c r="B44" s="173" t="s">
        <v>347</v>
      </c>
      <c r="C44" s="173" t="s">
        <v>9</v>
      </c>
      <c r="D44" s="173">
        <f>CEILING(21.2,1)</f>
        <v>22</v>
      </c>
      <c r="E44" s="173"/>
      <c r="F44" s="158"/>
      <c r="G44" s="175"/>
    </row>
    <row r="45" spans="1:198" s="176" customFormat="1" ht="15.6">
      <c r="A45" s="548" t="s">
        <v>1588</v>
      </c>
      <c r="B45" s="173" t="s">
        <v>609</v>
      </c>
      <c r="C45" s="173" t="s">
        <v>9</v>
      </c>
      <c r="D45" s="173">
        <f>CEILING(4*3*0.4,1)</f>
        <v>5</v>
      </c>
      <c r="E45" s="173"/>
      <c r="F45" s="158"/>
      <c r="G45" s="175"/>
    </row>
    <row r="46" spans="1:198" s="176" customFormat="1" ht="15.6">
      <c r="A46" s="548" t="s">
        <v>1589</v>
      </c>
      <c r="B46" s="173" t="s">
        <v>502</v>
      </c>
      <c r="C46" s="173" t="s">
        <v>9</v>
      </c>
      <c r="D46" s="173">
        <v>7</v>
      </c>
      <c r="E46" s="173"/>
      <c r="F46" s="158"/>
      <c r="G46" s="175"/>
    </row>
    <row r="47" spans="1:198" s="176" customFormat="1" ht="15.6">
      <c r="A47" s="791"/>
      <c r="B47" s="792"/>
      <c r="C47" s="792"/>
      <c r="D47" s="792"/>
      <c r="E47" s="792"/>
      <c r="F47" s="793"/>
      <c r="G47" s="175"/>
    </row>
    <row r="48" spans="1:198" ht="15.6">
      <c r="A48" s="416" t="s">
        <v>11</v>
      </c>
      <c r="B48" s="177" t="s">
        <v>525</v>
      </c>
      <c r="C48" s="173" t="s">
        <v>11</v>
      </c>
      <c r="D48" s="173" t="s">
        <v>11</v>
      </c>
      <c r="E48" s="173"/>
      <c r="F48" s="179"/>
    </row>
    <row r="49" spans="1:6" ht="15.6">
      <c r="A49" s="548" t="s">
        <v>1590</v>
      </c>
      <c r="B49" s="173" t="s">
        <v>526</v>
      </c>
      <c r="C49" s="173" t="s">
        <v>11</v>
      </c>
      <c r="D49" s="173" t="s">
        <v>11</v>
      </c>
      <c r="E49" s="173"/>
      <c r="F49" s="179"/>
    </row>
    <row r="50" spans="1:6" ht="15.6">
      <c r="A50" s="548" t="s">
        <v>1591</v>
      </c>
      <c r="B50" s="173" t="s">
        <v>610</v>
      </c>
      <c r="C50" s="173" t="s">
        <v>8</v>
      </c>
      <c r="D50" s="173">
        <f>CEILING(39.1-27.5,1)</f>
        <v>12</v>
      </c>
      <c r="E50" s="173"/>
      <c r="F50" s="179"/>
    </row>
    <row r="51" spans="1:6" ht="15.6">
      <c r="A51" s="548" t="s">
        <v>1592</v>
      </c>
      <c r="B51" s="173" t="s">
        <v>527</v>
      </c>
      <c r="C51" s="173" t="s">
        <v>9</v>
      </c>
      <c r="D51" s="173">
        <v>26</v>
      </c>
      <c r="E51" s="173"/>
      <c r="F51" s="179"/>
    </row>
    <row r="52" spans="1:6" ht="15.6">
      <c r="A52" s="548" t="s">
        <v>1593</v>
      </c>
      <c r="B52" s="162" t="s">
        <v>303</v>
      </c>
      <c r="C52" s="173" t="s">
        <v>11</v>
      </c>
      <c r="D52" s="173" t="s">
        <v>11</v>
      </c>
      <c r="E52" s="173"/>
      <c r="F52" s="179"/>
    </row>
    <row r="53" spans="1:6" ht="31.2">
      <c r="A53" s="548" t="s">
        <v>1594</v>
      </c>
      <c r="B53" s="173" t="s">
        <v>611</v>
      </c>
      <c r="C53" s="173" t="s">
        <v>8</v>
      </c>
      <c r="D53" s="173">
        <f>D50</f>
        <v>12</v>
      </c>
      <c r="E53" s="173"/>
      <c r="F53" s="179"/>
    </row>
    <row r="54" spans="1:6" ht="31.2">
      <c r="A54" s="548" t="s">
        <v>1595</v>
      </c>
      <c r="B54" s="173" t="s">
        <v>528</v>
      </c>
      <c r="C54" s="173" t="s">
        <v>9</v>
      </c>
      <c r="D54" s="173">
        <f>D51</f>
        <v>26</v>
      </c>
      <c r="E54" s="173"/>
      <c r="F54" s="179"/>
    </row>
    <row r="55" spans="1:6" ht="15.6">
      <c r="A55" s="417" t="s">
        <v>11</v>
      </c>
      <c r="B55" s="177" t="s">
        <v>503</v>
      </c>
      <c r="C55" s="173" t="s">
        <v>11</v>
      </c>
      <c r="D55" s="173" t="s">
        <v>11</v>
      </c>
      <c r="E55" s="173"/>
      <c r="F55" s="179"/>
    </row>
    <row r="56" spans="1:6" ht="31.2">
      <c r="A56" s="548" t="s">
        <v>1596</v>
      </c>
      <c r="B56" s="173" t="s">
        <v>612</v>
      </c>
      <c r="C56" s="173" t="s">
        <v>9</v>
      </c>
      <c r="D56" s="173">
        <f>D54</f>
        <v>26</v>
      </c>
      <c r="E56" s="173"/>
      <c r="F56" s="179"/>
    </row>
    <row r="57" spans="1:6" ht="15.6">
      <c r="A57" s="416" t="s">
        <v>11</v>
      </c>
      <c r="B57" s="177" t="s">
        <v>490</v>
      </c>
      <c r="C57" s="173" t="s">
        <v>11</v>
      </c>
      <c r="D57" s="173" t="s">
        <v>11</v>
      </c>
      <c r="E57" s="173"/>
      <c r="F57" s="179"/>
    </row>
    <row r="58" spans="1:6" ht="31.2">
      <c r="A58" s="548" t="s">
        <v>1597</v>
      </c>
      <c r="B58" s="173" t="s">
        <v>348</v>
      </c>
      <c r="C58" s="173" t="s">
        <v>9</v>
      </c>
      <c r="D58" s="173">
        <f>2*3</f>
        <v>6</v>
      </c>
      <c r="E58" s="173"/>
      <c r="F58" s="179"/>
    </row>
    <row r="59" spans="1:6" ht="15.6">
      <c r="A59" s="548" t="s">
        <v>1598</v>
      </c>
      <c r="B59" s="173" t="s">
        <v>504</v>
      </c>
      <c r="C59" s="173" t="s">
        <v>305</v>
      </c>
      <c r="D59" s="173">
        <v>2</v>
      </c>
      <c r="E59" s="173"/>
      <c r="F59" s="179"/>
    </row>
    <row r="60" spans="1:6" ht="15.6">
      <c r="A60" s="548" t="s">
        <v>1599</v>
      </c>
      <c r="B60" s="173" t="s">
        <v>505</v>
      </c>
      <c r="C60" s="173" t="s">
        <v>305</v>
      </c>
      <c r="D60" s="173">
        <f>D59</f>
        <v>2</v>
      </c>
      <c r="E60" s="173"/>
      <c r="F60" s="179"/>
    </row>
    <row r="61" spans="1:6" ht="15.6">
      <c r="A61" s="548" t="s">
        <v>1600</v>
      </c>
      <c r="B61" s="173" t="s">
        <v>506</v>
      </c>
      <c r="C61" s="173" t="s">
        <v>11</v>
      </c>
      <c r="D61" s="173" t="s">
        <v>11</v>
      </c>
      <c r="E61" s="173"/>
      <c r="F61" s="179"/>
    </row>
    <row r="62" spans="1:6" ht="15.6">
      <c r="A62" s="548" t="s">
        <v>1601</v>
      </c>
      <c r="B62" s="173" t="s">
        <v>613</v>
      </c>
      <c r="C62" s="173" t="s">
        <v>9</v>
      </c>
      <c r="D62" s="173">
        <f>D56</f>
        <v>26</v>
      </c>
      <c r="E62" s="173"/>
      <c r="F62" s="179"/>
    </row>
    <row r="63" spans="1:6" ht="15.6">
      <c r="A63" s="416"/>
      <c r="B63" s="761" t="s">
        <v>1002</v>
      </c>
      <c r="C63" s="219"/>
      <c r="D63" s="220"/>
      <c r="E63" s="221"/>
      <c r="F63" s="216"/>
    </row>
    <row r="64" spans="1:6" ht="15.6">
      <c r="A64" s="1089"/>
      <c r="B64" s="1037"/>
      <c r="C64" s="1053"/>
      <c r="D64" s="1054"/>
      <c r="E64" s="1055"/>
      <c r="F64" s="1092"/>
    </row>
    <row r="65" spans="1:6" ht="15.6">
      <c r="A65" s="760">
        <v>11.4</v>
      </c>
      <c r="B65" s="202" t="s">
        <v>1450</v>
      </c>
      <c r="C65" s="763"/>
      <c r="D65" s="763"/>
      <c r="E65" s="764"/>
      <c r="F65" s="765"/>
    </row>
    <row r="66" spans="1:6" ht="31.2">
      <c r="A66" s="418" t="s">
        <v>1602</v>
      </c>
      <c r="B66" s="173" t="s">
        <v>709</v>
      </c>
      <c r="C66" s="180" t="s">
        <v>305</v>
      </c>
      <c r="D66" s="180">
        <v>1</v>
      </c>
      <c r="E66" s="180"/>
      <c r="F66" s="179"/>
    </row>
    <row r="67" spans="1:6" ht="31.2">
      <c r="A67" s="418" t="s">
        <v>1603</v>
      </c>
      <c r="B67" s="173" t="s">
        <v>614</v>
      </c>
      <c r="C67" s="180" t="s">
        <v>9</v>
      </c>
      <c r="D67" s="180">
        <f>CEILING(5.1*D66,1)</f>
        <v>6</v>
      </c>
      <c r="E67" s="180"/>
      <c r="F67" s="179"/>
    </row>
    <row r="68" spans="1:6" ht="15.6">
      <c r="A68" s="418" t="s">
        <v>1604</v>
      </c>
      <c r="B68" s="173" t="s">
        <v>615</v>
      </c>
      <c r="C68" s="180" t="s">
        <v>9</v>
      </c>
      <c r="D68" s="180">
        <f>D67*2</f>
        <v>12</v>
      </c>
      <c r="E68" s="180"/>
      <c r="F68" s="179"/>
    </row>
    <row r="69" spans="1:6" ht="15.6">
      <c r="A69" s="418" t="s">
        <v>1605</v>
      </c>
      <c r="B69" s="173" t="s">
        <v>616</v>
      </c>
      <c r="C69" s="180" t="s">
        <v>9</v>
      </c>
      <c r="D69" s="180">
        <f>D68</f>
        <v>12</v>
      </c>
      <c r="E69" s="180"/>
      <c r="F69" s="179"/>
    </row>
    <row r="70" spans="1:6" ht="15.6">
      <c r="A70" s="418"/>
      <c r="B70" s="177" t="s">
        <v>617</v>
      </c>
      <c r="C70" s="180" t="s">
        <v>11</v>
      </c>
      <c r="D70" s="180" t="s">
        <v>11</v>
      </c>
      <c r="E70" s="180"/>
      <c r="F70" s="179"/>
    </row>
    <row r="71" spans="1:6" ht="31.2">
      <c r="A71" s="418" t="s">
        <v>1606</v>
      </c>
      <c r="B71" s="173" t="s">
        <v>618</v>
      </c>
      <c r="C71" s="180" t="s">
        <v>11</v>
      </c>
      <c r="D71" s="180" t="s">
        <v>11</v>
      </c>
      <c r="E71" s="180"/>
      <c r="F71" s="179"/>
    </row>
    <row r="72" spans="1:6" ht="15.6">
      <c r="A72" s="418" t="s">
        <v>1607</v>
      </c>
      <c r="B72" s="173" t="s">
        <v>619</v>
      </c>
      <c r="C72" s="180" t="s">
        <v>305</v>
      </c>
      <c r="D72" s="180">
        <f>SUM(D66:D66)</f>
        <v>1</v>
      </c>
      <c r="E72" s="180"/>
      <c r="F72" s="179"/>
    </row>
    <row r="73" spans="1:6" ht="15.6">
      <c r="A73" s="418" t="s">
        <v>1608</v>
      </c>
      <c r="B73" s="435" t="s">
        <v>620</v>
      </c>
      <c r="C73" s="436" t="s">
        <v>621</v>
      </c>
      <c r="D73" s="436">
        <f>CEILING(D66*3/2,1)</f>
        <v>2</v>
      </c>
      <c r="E73" s="436"/>
      <c r="F73" s="437"/>
    </row>
    <row r="74" spans="1:6" ht="15.6">
      <c r="A74" s="418" t="s">
        <v>1609</v>
      </c>
      <c r="B74" s="173" t="s">
        <v>622</v>
      </c>
      <c r="C74" s="180" t="s">
        <v>305</v>
      </c>
      <c r="D74" s="180">
        <f>D72</f>
        <v>1</v>
      </c>
      <c r="E74" s="180"/>
      <c r="F74" s="179"/>
    </row>
    <row r="75" spans="1:6" ht="15.6">
      <c r="A75" s="418"/>
      <c r="B75" s="177" t="s">
        <v>623</v>
      </c>
      <c r="C75" s="180" t="s">
        <v>11</v>
      </c>
      <c r="D75" s="180" t="s">
        <v>11</v>
      </c>
      <c r="E75" s="180"/>
      <c r="F75" s="179"/>
    </row>
    <row r="76" spans="1:6" ht="31.2">
      <c r="A76" s="418" t="s">
        <v>1610</v>
      </c>
      <c r="B76" s="173" t="s">
        <v>624</v>
      </c>
      <c r="C76" s="180" t="s">
        <v>329</v>
      </c>
      <c r="D76" s="180" t="s">
        <v>468</v>
      </c>
      <c r="E76" s="180"/>
      <c r="F76" s="179"/>
    </row>
    <row r="77" spans="1:6" ht="15.6">
      <c r="A77" s="1093"/>
      <c r="B77" s="1088"/>
      <c r="C77" s="1094"/>
      <c r="D77" s="1094"/>
      <c r="E77" s="1094"/>
      <c r="F77" s="1095"/>
    </row>
    <row r="78" spans="1:6" ht="15.6">
      <c r="A78" s="1093"/>
      <c r="B78" s="761" t="s">
        <v>1002</v>
      </c>
      <c r="C78" s="219"/>
      <c r="D78" s="220"/>
      <c r="E78" s="221"/>
      <c r="F78" s="216"/>
    </row>
    <row r="79" spans="1:6" ht="15.6">
      <c r="A79" s="1093"/>
      <c r="B79" s="1088"/>
      <c r="C79" s="1094"/>
      <c r="D79" s="1094"/>
      <c r="E79" s="1094"/>
      <c r="F79" s="1095"/>
    </row>
    <row r="80" spans="1:6" ht="15.6">
      <c r="A80" s="760">
        <v>11.5</v>
      </c>
      <c r="B80" s="202" t="s">
        <v>1453</v>
      </c>
      <c r="C80" s="1094"/>
      <c r="D80" s="1094"/>
      <c r="E80" s="1094"/>
      <c r="F80" s="1095"/>
    </row>
    <row r="81" spans="1:6" ht="31.2">
      <c r="A81" s="418" t="s">
        <v>1611</v>
      </c>
      <c r="B81" s="164" t="s">
        <v>625</v>
      </c>
      <c r="C81" s="163" t="s">
        <v>304</v>
      </c>
      <c r="D81" s="165">
        <v>1</v>
      </c>
      <c r="E81" s="157"/>
      <c r="F81" s="179"/>
    </row>
    <row r="82" spans="1:6" ht="15.6">
      <c r="A82" s="1093"/>
      <c r="B82" s="1097"/>
      <c r="C82" s="1098"/>
      <c r="D82" s="1099"/>
      <c r="E82" s="1100"/>
      <c r="F82" s="1091"/>
    </row>
    <row r="83" spans="1:6" ht="15.6">
      <c r="A83" s="1093"/>
      <c r="B83" s="761" t="s">
        <v>1002</v>
      </c>
      <c r="C83" s="219"/>
      <c r="D83" s="220"/>
      <c r="E83" s="221"/>
      <c r="F83" s="216"/>
    </row>
    <row r="84" spans="1:6" ht="15.6">
      <c r="A84" s="1093"/>
      <c r="B84" s="761"/>
      <c r="C84" s="1053"/>
      <c r="D84" s="1054"/>
      <c r="E84" s="1055"/>
      <c r="F84" s="1092"/>
    </row>
    <row r="85" spans="1:6">
      <c r="A85" s="812" t="s">
        <v>260</v>
      </c>
      <c r="B85" s="813" t="s">
        <v>13</v>
      </c>
      <c r="C85" s="814" t="s">
        <v>330</v>
      </c>
      <c r="D85" s="815" t="s">
        <v>331</v>
      </c>
      <c r="E85" s="816" t="s">
        <v>332</v>
      </c>
      <c r="F85" s="817"/>
    </row>
    <row r="86" spans="1:6" ht="15.6">
      <c r="A86" s="760">
        <v>11.6</v>
      </c>
      <c r="B86" s="202" t="s">
        <v>1454</v>
      </c>
      <c r="C86" s="777"/>
      <c r="D86" s="778"/>
      <c r="E86" s="778"/>
      <c r="F86" s="765"/>
    </row>
    <row r="87" spans="1:6" ht="28.8">
      <c r="A87" s="784" t="s">
        <v>1612</v>
      </c>
      <c r="B87" s="769" t="s">
        <v>1001</v>
      </c>
      <c r="C87" s="770" t="s">
        <v>925</v>
      </c>
      <c r="D87" s="770">
        <f>CEILING((1.2*7+1.8*4)*0.3*2,1)</f>
        <v>10</v>
      </c>
      <c r="E87" s="775"/>
      <c r="F87" s="772"/>
    </row>
    <row r="88" spans="1:6">
      <c r="A88" s="766"/>
      <c r="B88" s="776"/>
      <c r="C88" s="777"/>
      <c r="D88" s="778"/>
      <c r="E88" s="778"/>
      <c r="F88" s="765"/>
    </row>
    <row r="89" spans="1:6">
      <c r="A89" s="766"/>
      <c r="B89" s="761" t="s">
        <v>1002</v>
      </c>
      <c r="C89" s="219"/>
      <c r="D89" s="220"/>
      <c r="E89" s="221"/>
      <c r="F89" s="216"/>
    </row>
    <row r="90" spans="1:6" ht="15.6">
      <c r="A90" s="185"/>
      <c r="B90" s="202"/>
      <c r="C90" s="195"/>
      <c r="D90" s="196"/>
      <c r="E90" s="195"/>
      <c r="F90" s="186"/>
    </row>
    <row r="91" spans="1:6" ht="15.6">
      <c r="A91" s="185"/>
      <c r="B91" s="202" t="s">
        <v>1011</v>
      </c>
      <c r="C91" s="195"/>
      <c r="D91" s="196"/>
      <c r="E91" s="195"/>
      <c r="F91" s="186"/>
    </row>
    <row r="92" spans="1:6" ht="31.2">
      <c r="A92" s="185">
        <v>11.7</v>
      </c>
      <c r="B92" s="202" t="s">
        <v>1456</v>
      </c>
      <c r="C92" s="195"/>
      <c r="D92" s="196"/>
      <c r="E92" s="195"/>
      <c r="F92" s="186"/>
    </row>
    <row r="93" spans="1:6" ht="15.6">
      <c r="A93" s="419"/>
      <c r="B93" s="194"/>
      <c r="C93" s="187"/>
      <c r="D93" s="188"/>
      <c r="E93" s="189"/>
      <c r="F93" s="190"/>
    </row>
    <row r="94" spans="1:6" ht="15.6">
      <c r="A94" s="193"/>
      <c r="B94" s="194" t="s">
        <v>310</v>
      </c>
      <c r="C94" s="195"/>
      <c r="D94" s="196"/>
      <c r="E94" s="195"/>
      <c r="F94" s="190"/>
    </row>
    <row r="95" spans="1:6" ht="62.4">
      <c r="A95" s="193"/>
      <c r="B95" s="424" t="s">
        <v>467</v>
      </c>
      <c r="C95" s="199"/>
      <c r="D95" s="196"/>
      <c r="E95" s="195"/>
      <c r="F95" s="190"/>
    </row>
    <row r="96" spans="1:6" ht="15.6">
      <c r="A96" s="193" t="s">
        <v>1613</v>
      </c>
      <c r="B96" s="200" t="s">
        <v>704</v>
      </c>
      <c r="C96" s="199" t="s">
        <v>10</v>
      </c>
      <c r="D96" s="196">
        <v>2</v>
      </c>
      <c r="E96" s="195"/>
      <c r="F96" s="190"/>
    </row>
    <row r="97" spans="1:198" ht="15.6">
      <c r="A97" s="193"/>
      <c r="B97" s="201" t="s">
        <v>311</v>
      </c>
      <c r="C97" s="199"/>
      <c r="D97" s="196"/>
      <c r="E97" s="195"/>
      <c r="F97" s="190"/>
    </row>
    <row r="98" spans="1:198" ht="15.6">
      <c r="A98" s="193" t="s">
        <v>1614</v>
      </c>
      <c r="B98" s="200" t="s">
        <v>312</v>
      </c>
      <c r="C98" s="199" t="s">
        <v>304</v>
      </c>
      <c r="D98" s="196">
        <f>D96</f>
        <v>2</v>
      </c>
      <c r="E98" s="195"/>
      <c r="F98" s="190"/>
    </row>
    <row r="99" spans="1:198" s="155" customFormat="1" ht="15.6">
      <c r="A99" s="193"/>
      <c r="B99" s="202" t="s">
        <v>313</v>
      </c>
      <c r="C99" s="195"/>
      <c r="D99" s="196"/>
      <c r="E99" s="195"/>
      <c r="F99" s="190"/>
      <c r="G99" s="154"/>
    </row>
    <row r="100" spans="1:198" s="76" customFormat="1" ht="124.8">
      <c r="A100" s="193"/>
      <c r="B100" s="203" t="s">
        <v>631</v>
      </c>
      <c r="C100" s="199"/>
      <c r="D100" s="196"/>
      <c r="E100" s="195"/>
      <c r="F100" s="190"/>
      <c r="G100" s="75"/>
    </row>
    <row r="101" spans="1:198" s="52" customFormat="1" ht="15.6">
      <c r="A101" s="193"/>
      <c r="B101" s="204" t="s">
        <v>314</v>
      </c>
      <c r="C101" s="199"/>
      <c r="D101" s="196"/>
      <c r="E101" s="195"/>
      <c r="F101" s="190"/>
      <c r="G101" s="74"/>
    </row>
    <row r="102" spans="1:198" s="52" customFormat="1" ht="15.6">
      <c r="A102" s="193" t="s">
        <v>1615</v>
      </c>
      <c r="B102" s="204" t="s">
        <v>315</v>
      </c>
      <c r="C102" s="199" t="s">
        <v>304</v>
      </c>
      <c r="D102" s="196">
        <v>2</v>
      </c>
      <c r="E102" s="195"/>
      <c r="F102" s="190"/>
      <c r="G102" s="74"/>
    </row>
    <row r="103" spans="1:198" s="156" customFormat="1" ht="15.6">
      <c r="A103" s="193"/>
      <c r="B103" s="201" t="s">
        <v>316</v>
      </c>
      <c r="C103" s="195"/>
      <c r="D103" s="196"/>
      <c r="E103" s="195"/>
      <c r="F103" s="190"/>
      <c r="G103" s="62"/>
    </row>
    <row r="104" spans="1:198" s="156" customFormat="1" ht="78">
      <c r="A104" s="193"/>
      <c r="B104" s="200" t="s">
        <v>705</v>
      </c>
      <c r="C104" s="199"/>
      <c r="D104" s="196"/>
      <c r="E104" s="195"/>
      <c r="F104" s="190"/>
      <c r="G104" s="62"/>
    </row>
    <row r="105" spans="1:198" s="161" customFormat="1" ht="15.6">
      <c r="A105" s="193" t="s">
        <v>1616</v>
      </c>
      <c r="B105" s="204" t="s">
        <v>317</v>
      </c>
      <c r="C105" s="199" t="s">
        <v>318</v>
      </c>
      <c r="D105" s="196">
        <f>21.2*3</f>
        <v>63.599999999999994</v>
      </c>
      <c r="E105" s="195"/>
      <c r="F105" s="190"/>
      <c r="G105" s="159"/>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0"/>
      <c r="BM105" s="160"/>
      <c r="BN105" s="160"/>
      <c r="BO105" s="160"/>
      <c r="BP105" s="160"/>
      <c r="BQ105" s="160"/>
      <c r="BR105" s="160"/>
      <c r="BS105" s="160"/>
      <c r="BT105" s="160"/>
      <c r="BU105" s="160"/>
      <c r="BV105" s="160"/>
      <c r="BW105" s="160"/>
      <c r="BX105" s="160"/>
      <c r="BY105" s="160"/>
      <c r="BZ105" s="160"/>
      <c r="CA105" s="160"/>
      <c r="CB105" s="160"/>
      <c r="CC105" s="160"/>
      <c r="CD105" s="160"/>
      <c r="CE105" s="160"/>
      <c r="CF105" s="160"/>
      <c r="CG105" s="160"/>
      <c r="CH105" s="160"/>
      <c r="CI105" s="160"/>
      <c r="CJ105" s="160"/>
      <c r="CK105" s="160"/>
      <c r="CL105" s="160"/>
      <c r="CM105" s="160"/>
      <c r="CN105" s="160"/>
      <c r="CO105" s="160"/>
      <c r="CP105" s="160"/>
      <c r="CQ105" s="160"/>
      <c r="CR105" s="160"/>
      <c r="CS105" s="160"/>
      <c r="CT105" s="160"/>
      <c r="CU105" s="160"/>
      <c r="CV105" s="160"/>
      <c r="CW105" s="160"/>
      <c r="CX105" s="160"/>
      <c r="CY105" s="160"/>
      <c r="CZ105" s="160"/>
      <c r="DA105" s="160"/>
      <c r="DB105" s="160"/>
      <c r="DC105" s="160"/>
      <c r="DD105" s="160"/>
      <c r="DE105" s="160"/>
      <c r="DF105" s="160"/>
      <c r="DG105" s="160"/>
      <c r="DH105" s="160"/>
      <c r="DI105" s="160"/>
      <c r="DJ105" s="160"/>
      <c r="DK105" s="160"/>
      <c r="DL105" s="160"/>
      <c r="DM105" s="160"/>
      <c r="DN105" s="160"/>
      <c r="DO105" s="160"/>
      <c r="DP105" s="160"/>
      <c r="DQ105" s="160"/>
      <c r="DR105" s="160"/>
      <c r="DS105" s="160"/>
      <c r="DT105" s="160"/>
      <c r="DU105" s="160"/>
      <c r="DV105" s="160"/>
      <c r="DW105" s="160"/>
      <c r="DX105" s="160"/>
      <c r="DY105" s="160"/>
      <c r="DZ105" s="160"/>
      <c r="EA105" s="160"/>
      <c r="EB105" s="160"/>
      <c r="EC105" s="160"/>
      <c r="ED105" s="160"/>
      <c r="EE105" s="160"/>
      <c r="EF105" s="160"/>
      <c r="EG105" s="160"/>
      <c r="EH105" s="160"/>
      <c r="EI105" s="160"/>
      <c r="EJ105" s="160"/>
      <c r="EK105" s="160"/>
      <c r="EL105" s="160"/>
      <c r="EM105" s="160"/>
      <c r="EN105" s="160"/>
      <c r="EO105" s="160"/>
      <c r="EP105" s="160"/>
      <c r="EQ105" s="160"/>
      <c r="ER105" s="160"/>
      <c r="ES105" s="160"/>
      <c r="ET105" s="160"/>
      <c r="EU105" s="160"/>
      <c r="EV105" s="160"/>
      <c r="EW105" s="160"/>
      <c r="EX105" s="160"/>
      <c r="EY105" s="160"/>
      <c r="EZ105" s="160"/>
      <c r="FA105" s="160"/>
      <c r="FB105" s="160"/>
      <c r="FC105" s="160"/>
      <c r="FD105" s="160"/>
      <c r="FE105" s="160"/>
      <c r="FF105" s="160"/>
      <c r="FG105" s="160"/>
      <c r="FH105" s="160"/>
      <c r="FI105" s="160"/>
      <c r="FJ105" s="160"/>
      <c r="FK105" s="160"/>
      <c r="FL105" s="160"/>
      <c r="FM105" s="160"/>
      <c r="FN105" s="160"/>
      <c r="FO105" s="160"/>
      <c r="FP105" s="160"/>
      <c r="FQ105" s="160"/>
      <c r="FR105" s="160"/>
      <c r="FS105" s="160"/>
      <c r="FT105" s="160"/>
      <c r="FU105" s="160"/>
      <c r="FV105" s="160"/>
      <c r="FW105" s="160"/>
      <c r="FX105" s="160"/>
      <c r="FY105" s="160"/>
      <c r="FZ105" s="160"/>
      <c r="GA105" s="160"/>
      <c r="GB105" s="160"/>
      <c r="GC105" s="160"/>
      <c r="GD105" s="160"/>
      <c r="GE105" s="160"/>
      <c r="GF105" s="160"/>
      <c r="GG105" s="160"/>
      <c r="GH105" s="160"/>
      <c r="GI105" s="160"/>
      <c r="GJ105" s="160"/>
      <c r="GK105" s="160"/>
      <c r="GL105" s="160"/>
      <c r="GM105" s="160"/>
      <c r="GN105" s="160"/>
      <c r="GO105" s="160"/>
      <c r="GP105" s="160"/>
    </row>
    <row r="106" spans="1:198" s="161" customFormat="1" ht="46.8">
      <c r="A106" s="420"/>
      <c r="B106" s="201" t="s">
        <v>706</v>
      </c>
      <c r="C106" s="205"/>
      <c r="D106" s="196"/>
      <c r="E106" s="195"/>
      <c r="F106" s="190"/>
      <c r="G106" s="159"/>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0"/>
      <c r="AY106" s="160"/>
      <c r="AZ106" s="160"/>
      <c r="BA106" s="160"/>
      <c r="BB106" s="160"/>
      <c r="BC106" s="160"/>
      <c r="BD106" s="160"/>
      <c r="BE106" s="160"/>
      <c r="BF106" s="160"/>
      <c r="BG106" s="160"/>
      <c r="BH106" s="160"/>
      <c r="BI106" s="160"/>
      <c r="BJ106" s="160"/>
      <c r="BK106" s="160"/>
      <c r="BL106" s="160"/>
      <c r="BM106" s="160"/>
      <c r="BN106" s="160"/>
      <c r="BO106" s="160"/>
      <c r="BP106" s="160"/>
      <c r="BQ106" s="160"/>
      <c r="BR106" s="160"/>
      <c r="BS106" s="160"/>
      <c r="BT106" s="160"/>
      <c r="BU106" s="160"/>
      <c r="BV106" s="160"/>
      <c r="BW106" s="160"/>
      <c r="BX106" s="160"/>
      <c r="BY106" s="160"/>
      <c r="BZ106" s="160"/>
      <c r="CA106" s="160"/>
      <c r="CB106" s="160"/>
      <c r="CC106" s="160"/>
      <c r="CD106" s="160"/>
      <c r="CE106" s="160"/>
      <c r="CF106" s="160"/>
      <c r="CG106" s="160"/>
      <c r="CH106" s="160"/>
      <c r="CI106" s="160"/>
      <c r="CJ106" s="160"/>
      <c r="CK106" s="160"/>
      <c r="CL106" s="160"/>
      <c r="CM106" s="160"/>
      <c r="CN106" s="160"/>
      <c r="CO106" s="160"/>
      <c r="CP106" s="160"/>
      <c r="CQ106" s="160"/>
      <c r="CR106" s="160"/>
      <c r="CS106" s="160"/>
      <c r="CT106" s="160"/>
      <c r="CU106" s="160"/>
      <c r="CV106" s="160"/>
      <c r="CW106" s="160"/>
      <c r="CX106" s="160"/>
      <c r="CY106" s="160"/>
      <c r="CZ106" s="160"/>
      <c r="DA106" s="160"/>
      <c r="DB106" s="160"/>
      <c r="DC106" s="160"/>
      <c r="DD106" s="160"/>
      <c r="DE106" s="160"/>
      <c r="DF106" s="160"/>
      <c r="DG106" s="160"/>
      <c r="DH106" s="160"/>
      <c r="DI106" s="160"/>
      <c r="DJ106" s="160"/>
      <c r="DK106" s="160"/>
      <c r="DL106" s="160"/>
      <c r="DM106" s="160"/>
      <c r="DN106" s="160"/>
      <c r="DO106" s="160"/>
      <c r="DP106" s="160"/>
      <c r="DQ106" s="160"/>
      <c r="DR106" s="160"/>
      <c r="DS106" s="160"/>
      <c r="DT106" s="160"/>
      <c r="DU106" s="160"/>
      <c r="DV106" s="160"/>
      <c r="DW106" s="160"/>
      <c r="DX106" s="160"/>
      <c r="DY106" s="160"/>
      <c r="DZ106" s="160"/>
      <c r="EA106" s="160"/>
      <c r="EB106" s="160"/>
      <c r="EC106" s="160"/>
      <c r="ED106" s="160"/>
      <c r="EE106" s="160"/>
      <c r="EF106" s="160"/>
      <c r="EG106" s="160"/>
      <c r="EH106" s="160"/>
      <c r="EI106" s="160"/>
      <c r="EJ106" s="160"/>
      <c r="EK106" s="160"/>
      <c r="EL106" s="160"/>
      <c r="EM106" s="160"/>
      <c r="EN106" s="160"/>
      <c r="EO106" s="160"/>
      <c r="EP106" s="160"/>
      <c r="EQ106" s="160"/>
      <c r="ER106" s="160"/>
      <c r="ES106" s="160"/>
      <c r="ET106" s="160"/>
      <c r="EU106" s="160"/>
      <c r="EV106" s="160"/>
      <c r="EW106" s="160"/>
      <c r="EX106" s="160"/>
      <c r="EY106" s="160"/>
      <c r="EZ106" s="160"/>
      <c r="FA106" s="160"/>
      <c r="FB106" s="160"/>
      <c r="FC106" s="160"/>
      <c r="FD106" s="160"/>
      <c r="FE106" s="160"/>
      <c r="FF106" s="160"/>
      <c r="FG106" s="160"/>
      <c r="FH106" s="160"/>
      <c r="FI106" s="160"/>
      <c r="FJ106" s="160"/>
      <c r="FK106" s="160"/>
      <c r="FL106" s="160"/>
      <c r="FM106" s="160"/>
      <c r="FN106" s="160"/>
      <c r="FO106" s="160"/>
      <c r="FP106" s="160"/>
      <c r="FQ106" s="160"/>
      <c r="FR106" s="160"/>
      <c r="FS106" s="160"/>
      <c r="FT106" s="160"/>
      <c r="FU106" s="160"/>
      <c r="FV106" s="160"/>
      <c r="FW106" s="160"/>
      <c r="FX106" s="160"/>
      <c r="FY106" s="160"/>
      <c r="FZ106" s="160"/>
      <c r="GA106" s="160"/>
      <c r="GB106" s="160"/>
      <c r="GC106" s="160"/>
      <c r="GD106" s="160"/>
      <c r="GE106" s="160"/>
      <c r="GF106" s="160"/>
      <c r="GG106" s="160"/>
      <c r="GH106" s="160"/>
      <c r="GI106" s="160"/>
      <c r="GJ106" s="160"/>
      <c r="GK106" s="160"/>
      <c r="GL106" s="160"/>
      <c r="GM106" s="160"/>
      <c r="GN106" s="160"/>
      <c r="GO106" s="160"/>
      <c r="GP106" s="160"/>
    </row>
    <row r="107" spans="1:198" s="161" customFormat="1" ht="15.6">
      <c r="A107" s="420" t="s">
        <v>1616</v>
      </c>
      <c r="B107" s="206" t="s">
        <v>319</v>
      </c>
      <c r="C107" s="205" t="s">
        <v>320</v>
      </c>
      <c r="D107" s="196">
        <v>1</v>
      </c>
      <c r="E107" s="195"/>
      <c r="F107" s="190"/>
      <c r="G107" s="159"/>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c r="BO107" s="160"/>
      <c r="BP107" s="160"/>
      <c r="BQ107" s="160"/>
      <c r="BR107" s="160"/>
      <c r="BS107" s="160"/>
      <c r="BT107" s="160"/>
      <c r="BU107" s="160"/>
      <c r="BV107" s="160"/>
      <c r="BW107" s="160"/>
      <c r="BX107" s="160"/>
      <c r="BY107" s="160"/>
      <c r="BZ107" s="160"/>
      <c r="CA107" s="160"/>
      <c r="CB107" s="160"/>
      <c r="CC107" s="160"/>
      <c r="CD107" s="160"/>
      <c r="CE107" s="160"/>
      <c r="CF107" s="160"/>
      <c r="CG107" s="160"/>
      <c r="CH107" s="160"/>
      <c r="CI107" s="160"/>
      <c r="CJ107" s="160"/>
      <c r="CK107" s="160"/>
      <c r="CL107" s="160"/>
      <c r="CM107" s="160"/>
      <c r="CN107" s="160"/>
      <c r="CO107" s="160"/>
      <c r="CP107" s="160"/>
      <c r="CQ107" s="160"/>
      <c r="CR107" s="160"/>
      <c r="CS107" s="160"/>
      <c r="CT107" s="160"/>
      <c r="CU107" s="160"/>
      <c r="CV107" s="160"/>
      <c r="CW107" s="160"/>
      <c r="CX107" s="160"/>
      <c r="CY107" s="160"/>
      <c r="CZ107" s="160"/>
      <c r="DA107" s="160"/>
      <c r="DB107" s="160"/>
      <c r="DC107" s="160"/>
      <c r="DD107" s="160"/>
      <c r="DE107" s="160"/>
      <c r="DF107" s="160"/>
      <c r="DG107" s="160"/>
      <c r="DH107" s="160"/>
      <c r="DI107" s="160"/>
      <c r="DJ107" s="160"/>
      <c r="DK107" s="160"/>
      <c r="DL107" s="160"/>
      <c r="DM107" s="160"/>
      <c r="DN107" s="160"/>
      <c r="DO107" s="160"/>
      <c r="DP107" s="160"/>
      <c r="DQ107" s="160"/>
      <c r="DR107" s="160"/>
      <c r="DS107" s="160"/>
      <c r="DT107" s="160"/>
      <c r="DU107" s="160"/>
      <c r="DV107" s="160"/>
      <c r="DW107" s="160"/>
      <c r="DX107" s="160"/>
      <c r="DY107" s="160"/>
      <c r="DZ107" s="160"/>
      <c r="EA107" s="160"/>
      <c r="EB107" s="160"/>
      <c r="EC107" s="160"/>
      <c r="ED107" s="160"/>
      <c r="EE107" s="160"/>
      <c r="EF107" s="160"/>
      <c r="EG107" s="160"/>
      <c r="EH107" s="160"/>
      <c r="EI107" s="160"/>
      <c r="EJ107" s="160"/>
      <c r="EK107" s="160"/>
      <c r="EL107" s="160"/>
      <c r="EM107" s="160"/>
      <c r="EN107" s="160"/>
      <c r="EO107" s="160"/>
      <c r="EP107" s="160"/>
      <c r="EQ107" s="160"/>
      <c r="ER107" s="160"/>
      <c r="ES107" s="160"/>
      <c r="ET107" s="160"/>
      <c r="EU107" s="160"/>
      <c r="EV107" s="160"/>
      <c r="EW107" s="160"/>
      <c r="EX107" s="160"/>
      <c r="EY107" s="160"/>
      <c r="EZ107" s="160"/>
      <c r="FA107" s="160"/>
      <c r="FB107" s="160"/>
      <c r="FC107" s="160"/>
      <c r="FD107" s="160"/>
      <c r="FE107" s="160"/>
      <c r="FF107" s="160"/>
      <c r="FG107" s="160"/>
      <c r="FH107" s="160"/>
      <c r="FI107" s="160"/>
      <c r="FJ107" s="160"/>
      <c r="FK107" s="160"/>
      <c r="FL107" s="160"/>
      <c r="FM107" s="160"/>
      <c r="FN107" s="160"/>
      <c r="FO107" s="160"/>
      <c r="FP107" s="160"/>
      <c r="FQ107" s="160"/>
      <c r="FR107" s="160"/>
      <c r="FS107" s="160"/>
      <c r="FT107" s="160"/>
      <c r="FU107" s="160"/>
      <c r="FV107" s="160"/>
      <c r="FW107" s="160"/>
      <c r="FX107" s="160"/>
      <c r="FY107" s="160"/>
      <c r="FZ107" s="160"/>
      <c r="GA107" s="160"/>
      <c r="GB107" s="160"/>
      <c r="GC107" s="160"/>
      <c r="GD107" s="160"/>
      <c r="GE107" s="160"/>
      <c r="GF107" s="160"/>
      <c r="GG107" s="160"/>
      <c r="GH107" s="160"/>
      <c r="GI107" s="160"/>
      <c r="GJ107" s="160"/>
      <c r="GK107" s="160"/>
      <c r="GL107" s="160"/>
      <c r="GM107" s="160"/>
      <c r="GN107" s="160"/>
      <c r="GO107" s="160"/>
      <c r="GP107" s="160"/>
    </row>
    <row r="108" spans="1:198" s="161" customFormat="1" ht="46.8">
      <c r="A108" s="420"/>
      <c r="B108" s="207" t="s">
        <v>707</v>
      </c>
      <c r="C108" s="199"/>
      <c r="D108" s="196"/>
      <c r="E108" s="195"/>
      <c r="F108" s="190"/>
      <c r="G108" s="159"/>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c r="AX108" s="160"/>
      <c r="AY108" s="160"/>
      <c r="AZ108" s="160"/>
      <c r="BA108" s="160"/>
      <c r="BB108" s="160"/>
      <c r="BC108" s="160"/>
      <c r="BD108" s="160"/>
      <c r="BE108" s="160"/>
      <c r="BF108" s="160"/>
      <c r="BG108" s="160"/>
      <c r="BH108" s="160"/>
      <c r="BI108" s="160"/>
      <c r="BJ108" s="160"/>
      <c r="BK108" s="160"/>
      <c r="BL108" s="160"/>
      <c r="BM108" s="160"/>
      <c r="BN108" s="160"/>
      <c r="BO108" s="160"/>
      <c r="BP108" s="160"/>
      <c r="BQ108" s="160"/>
      <c r="BR108" s="160"/>
      <c r="BS108" s="160"/>
      <c r="BT108" s="160"/>
      <c r="BU108" s="160"/>
      <c r="BV108" s="160"/>
      <c r="BW108" s="160"/>
      <c r="BX108" s="160"/>
      <c r="BY108" s="160"/>
      <c r="BZ108" s="160"/>
      <c r="CA108" s="160"/>
      <c r="CB108" s="160"/>
      <c r="CC108" s="160"/>
      <c r="CD108" s="160"/>
      <c r="CE108" s="160"/>
      <c r="CF108" s="160"/>
      <c r="CG108" s="160"/>
      <c r="CH108" s="160"/>
      <c r="CI108" s="160"/>
      <c r="CJ108" s="160"/>
      <c r="CK108" s="160"/>
      <c r="CL108" s="160"/>
      <c r="CM108" s="160"/>
      <c r="CN108" s="160"/>
      <c r="CO108" s="160"/>
      <c r="CP108" s="160"/>
      <c r="CQ108" s="160"/>
      <c r="CR108" s="160"/>
      <c r="CS108" s="160"/>
      <c r="CT108" s="160"/>
      <c r="CU108" s="160"/>
      <c r="CV108" s="160"/>
      <c r="CW108" s="160"/>
      <c r="CX108" s="160"/>
      <c r="CY108" s="160"/>
      <c r="CZ108" s="160"/>
      <c r="DA108" s="160"/>
      <c r="DB108" s="160"/>
      <c r="DC108" s="160"/>
      <c r="DD108" s="160"/>
      <c r="DE108" s="160"/>
      <c r="DF108" s="160"/>
      <c r="DG108" s="160"/>
      <c r="DH108" s="160"/>
      <c r="DI108" s="160"/>
      <c r="DJ108" s="160"/>
      <c r="DK108" s="160"/>
      <c r="DL108" s="160"/>
      <c r="DM108" s="160"/>
      <c r="DN108" s="160"/>
      <c r="DO108" s="160"/>
      <c r="DP108" s="160"/>
      <c r="DQ108" s="160"/>
      <c r="DR108" s="160"/>
      <c r="DS108" s="160"/>
      <c r="DT108" s="160"/>
      <c r="DU108" s="160"/>
      <c r="DV108" s="160"/>
      <c r="DW108" s="160"/>
      <c r="DX108" s="160"/>
      <c r="DY108" s="160"/>
      <c r="DZ108" s="160"/>
      <c r="EA108" s="160"/>
      <c r="EB108" s="160"/>
      <c r="EC108" s="160"/>
      <c r="ED108" s="160"/>
      <c r="EE108" s="160"/>
      <c r="EF108" s="160"/>
      <c r="EG108" s="160"/>
      <c r="EH108" s="160"/>
      <c r="EI108" s="160"/>
      <c r="EJ108" s="160"/>
      <c r="EK108" s="160"/>
      <c r="EL108" s="160"/>
      <c r="EM108" s="160"/>
      <c r="EN108" s="160"/>
      <c r="EO108" s="160"/>
      <c r="EP108" s="160"/>
      <c r="EQ108" s="160"/>
      <c r="ER108" s="160"/>
      <c r="ES108" s="160"/>
      <c r="ET108" s="160"/>
      <c r="EU108" s="160"/>
      <c r="EV108" s="160"/>
      <c r="EW108" s="160"/>
      <c r="EX108" s="160"/>
      <c r="EY108" s="160"/>
      <c r="EZ108" s="160"/>
      <c r="FA108" s="160"/>
      <c r="FB108" s="160"/>
      <c r="FC108" s="160"/>
      <c r="FD108" s="160"/>
      <c r="FE108" s="160"/>
      <c r="FF108" s="160"/>
      <c r="FG108" s="160"/>
      <c r="FH108" s="160"/>
      <c r="FI108" s="160"/>
      <c r="FJ108" s="160"/>
      <c r="FK108" s="160"/>
      <c r="FL108" s="160"/>
      <c r="FM108" s="160"/>
      <c r="FN108" s="160"/>
      <c r="FO108" s="160"/>
      <c r="FP108" s="160"/>
      <c r="FQ108" s="160"/>
      <c r="FR108" s="160"/>
      <c r="FS108" s="160"/>
      <c r="FT108" s="160"/>
      <c r="FU108" s="160"/>
      <c r="FV108" s="160"/>
      <c r="FW108" s="160"/>
      <c r="FX108" s="160"/>
      <c r="FY108" s="160"/>
      <c r="FZ108" s="160"/>
      <c r="GA108" s="160"/>
      <c r="GB108" s="160"/>
      <c r="GC108" s="160"/>
      <c r="GD108" s="160"/>
      <c r="GE108" s="160"/>
      <c r="GF108" s="160"/>
      <c r="GG108" s="160"/>
      <c r="GH108" s="160"/>
      <c r="GI108" s="160"/>
      <c r="GJ108" s="160"/>
      <c r="GK108" s="160"/>
      <c r="GL108" s="160"/>
      <c r="GM108" s="160"/>
      <c r="GN108" s="160"/>
      <c r="GO108" s="160"/>
      <c r="GP108" s="160"/>
    </row>
    <row r="109" spans="1:198" s="161" customFormat="1" ht="15.6">
      <c r="A109" s="794"/>
      <c r="B109" s="795"/>
      <c r="C109" s="796"/>
      <c r="D109" s="797"/>
      <c r="E109" s="798"/>
      <c r="F109" s="799"/>
      <c r="G109" s="159"/>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c r="AX109" s="160"/>
      <c r="AY109" s="160"/>
      <c r="AZ109" s="160"/>
      <c r="BA109" s="160"/>
      <c r="BB109" s="160"/>
      <c r="BC109" s="160"/>
      <c r="BD109" s="160"/>
      <c r="BE109" s="160"/>
      <c r="BF109" s="160"/>
      <c r="BG109" s="160"/>
      <c r="BH109" s="160"/>
      <c r="BI109" s="160"/>
      <c r="BJ109" s="160"/>
      <c r="BK109" s="160"/>
      <c r="BL109" s="160"/>
      <c r="BM109" s="160"/>
      <c r="BN109" s="160"/>
      <c r="BO109" s="160"/>
      <c r="BP109" s="160"/>
      <c r="BQ109" s="160"/>
      <c r="BR109" s="160"/>
      <c r="BS109" s="160"/>
      <c r="BT109" s="160"/>
      <c r="BU109" s="160"/>
      <c r="BV109" s="160"/>
      <c r="BW109" s="160"/>
      <c r="BX109" s="160"/>
      <c r="BY109" s="160"/>
      <c r="BZ109" s="160"/>
      <c r="CA109" s="160"/>
      <c r="CB109" s="160"/>
      <c r="CC109" s="160"/>
      <c r="CD109" s="160"/>
      <c r="CE109" s="160"/>
      <c r="CF109" s="160"/>
      <c r="CG109" s="160"/>
      <c r="CH109" s="160"/>
      <c r="CI109" s="160"/>
      <c r="CJ109" s="160"/>
      <c r="CK109" s="160"/>
      <c r="CL109" s="160"/>
      <c r="CM109" s="160"/>
      <c r="CN109" s="160"/>
      <c r="CO109" s="160"/>
      <c r="CP109" s="160"/>
      <c r="CQ109" s="160"/>
      <c r="CR109" s="160"/>
      <c r="CS109" s="160"/>
      <c r="CT109" s="160"/>
      <c r="CU109" s="160"/>
      <c r="CV109" s="160"/>
      <c r="CW109" s="160"/>
      <c r="CX109" s="160"/>
      <c r="CY109" s="160"/>
      <c r="CZ109" s="160"/>
      <c r="DA109" s="160"/>
      <c r="DB109" s="160"/>
      <c r="DC109" s="160"/>
      <c r="DD109" s="160"/>
      <c r="DE109" s="160"/>
      <c r="DF109" s="160"/>
      <c r="DG109" s="160"/>
      <c r="DH109" s="160"/>
      <c r="DI109" s="160"/>
      <c r="DJ109" s="160"/>
      <c r="DK109" s="160"/>
      <c r="DL109" s="160"/>
      <c r="DM109" s="160"/>
      <c r="DN109" s="160"/>
      <c r="DO109" s="160"/>
      <c r="DP109" s="160"/>
      <c r="DQ109" s="160"/>
      <c r="DR109" s="160"/>
      <c r="DS109" s="160"/>
      <c r="DT109" s="160"/>
      <c r="DU109" s="160"/>
      <c r="DV109" s="160"/>
      <c r="DW109" s="160"/>
      <c r="DX109" s="160"/>
      <c r="DY109" s="160"/>
      <c r="DZ109" s="160"/>
      <c r="EA109" s="160"/>
      <c r="EB109" s="160"/>
      <c r="EC109" s="160"/>
      <c r="ED109" s="160"/>
      <c r="EE109" s="160"/>
      <c r="EF109" s="160"/>
      <c r="EG109" s="160"/>
      <c r="EH109" s="160"/>
      <c r="EI109" s="160"/>
      <c r="EJ109" s="160"/>
      <c r="EK109" s="160"/>
      <c r="EL109" s="160"/>
      <c r="EM109" s="160"/>
      <c r="EN109" s="160"/>
      <c r="EO109" s="160"/>
      <c r="EP109" s="160"/>
      <c r="EQ109" s="160"/>
      <c r="ER109" s="160"/>
      <c r="ES109" s="160"/>
      <c r="ET109" s="160"/>
      <c r="EU109" s="160"/>
      <c r="EV109" s="160"/>
      <c r="EW109" s="160"/>
      <c r="EX109" s="160"/>
      <c r="EY109" s="160"/>
      <c r="EZ109" s="160"/>
      <c r="FA109" s="160"/>
      <c r="FB109" s="160"/>
      <c r="FC109" s="160"/>
      <c r="FD109" s="160"/>
      <c r="FE109" s="160"/>
      <c r="FF109" s="160"/>
      <c r="FG109" s="160"/>
      <c r="FH109" s="160"/>
      <c r="FI109" s="160"/>
      <c r="FJ109" s="160"/>
      <c r="FK109" s="160"/>
      <c r="FL109" s="160"/>
      <c r="FM109" s="160"/>
      <c r="FN109" s="160"/>
      <c r="FO109" s="160"/>
      <c r="FP109" s="160"/>
      <c r="FQ109" s="160"/>
      <c r="FR109" s="160"/>
      <c r="FS109" s="160"/>
      <c r="FT109" s="160"/>
      <c r="FU109" s="160"/>
      <c r="FV109" s="160"/>
      <c r="FW109" s="160"/>
      <c r="FX109" s="160"/>
      <c r="FY109" s="160"/>
      <c r="FZ109" s="160"/>
      <c r="GA109" s="160"/>
      <c r="GB109" s="160"/>
      <c r="GC109" s="160"/>
      <c r="GD109" s="160"/>
      <c r="GE109" s="160"/>
      <c r="GF109" s="160"/>
      <c r="GG109" s="160"/>
      <c r="GH109" s="160"/>
      <c r="GI109" s="160"/>
      <c r="GJ109" s="160"/>
      <c r="GK109" s="160"/>
      <c r="GL109" s="160"/>
      <c r="GM109" s="160"/>
      <c r="GN109" s="160"/>
      <c r="GO109" s="160"/>
      <c r="GP109" s="160"/>
    </row>
    <row r="110" spans="1:198" s="161" customFormat="1" ht="16.2" thickBot="1">
      <c r="A110" s="419"/>
      <c r="B110" s="761" t="s">
        <v>1002</v>
      </c>
      <c r="C110" s="208"/>
      <c r="D110" s="209"/>
      <c r="E110" s="210"/>
      <c r="F110" s="785"/>
      <c r="G110" s="159"/>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0"/>
      <c r="CJ110" s="160"/>
      <c r="CK110" s="160"/>
      <c r="CL110" s="160"/>
      <c r="CM110" s="160"/>
      <c r="CN110" s="160"/>
      <c r="CO110" s="160"/>
      <c r="CP110" s="160"/>
      <c r="CQ110" s="160"/>
      <c r="CR110" s="160"/>
      <c r="CS110" s="160"/>
      <c r="CT110" s="160"/>
      <c r="CU110" s="160"/>
      <c r="CV110" s="160"/>
      <c r="CW110" s="160"/>
      <c r="CX110" s="160"/>
      <c r="CY110" s="160"/>
      <c r="CZ110" s="160"/>
      <c r="DA110" s="160"/>
      <c r="DB110" s="160"/>
      <c r="DC110" s="160"/>
      <c r="DD110" s="160"/>
      <c r="DE110" s="160"/>
      <c r="DF110" s="160"/>
      <c r="DG110" s="160"/>
      <c r="DH110" s="160"/>
      <c r="DI110" s="160"/>
      <c r="DJ110" s="160"/>
      <c r="DK110" s="160"/>
      <c r="DL110" s="160"/>
      <c r="DM110" s="160"/>
      <c r="DN110" s="160"/>
      <c r="DO110" s="160"/>
      <c r="DP110" s="160"/>
      <c r="DQ110" s="160"/>
      <c r="DR110" s="160"/>
      <c r="DS110" s="160"/>
      <c r="DT110" s="160"/>
      <c r="DU110" s="160"/>
      <c r="DV110" s="160"/>
      <c r="DW110" s="160"/>
      <c r="DX110" s="160"/>
      <c r="DY110" s="160"/>
      <c r="DZ110" s="160"/>
      <c r="EA110" s="160"/>
      <c r="EB110" s="160"/>
      <c r="EC110" s="160"/>
      <c r="ED110" s="160"/>
      <c r="EE110" s="160"/>
      <c r="EF110" s="160"/>
      <c r="EG110" s="160"/>
      <c r="EH110" s="160"/>
      <c r="EI110" s="160"/>
      <c r="EJ110" s="160"/>
      <c r="EK110" s="160"/>
      <c r="EL110" s="160"/>
      <c r="EM110" s="160"/>
      <c r="EN110" s="160"/>
      <c r="EO110" s="160"/>
      <c r="EP110" s="160"/>
      <c r="EQ110" s="160"/>
      <c r="ER110" s="160"/>
      <c r="ES110" s="160"/>
      <c r="ET110" s="160"/>
      <c r="EU110" s="160"/>
      <c r="EV110" s="160"/>
      <c r="EW110" s="160"/>
      <c r="EX110" s="160"/>
      <c r="EY110" s="160"/>
      <c r="EZ110" s="160"/>
      <c r="FA110" s="160"/>
      <c r="FB110" s="160"/>
      <c r="FC110" s="160"/>
      <c r="FD110" s="160"/>
      <c r="FE110" s="160"/>
      <c r="FF110" s="160"/>
      <c r="FG110" s="160"/>
      <c r="FH110" s="160"/>
      <c r="FI110" s="160"/>
      <c r="FJ110" s="160"/>
      <c r="FK110" s="160"/>
      <c r="FL110" s="160"/>
      <c r="FM110" s="160"/>
      <c r="FN110" s="160"/>
      <c r="FO110" s="160"/>
      <c r="FP110" s="160"/>
      <c r="FQ110" s="160"/>
      <c r="FR110" s="160"/>
      <c r="FS110" s="160"/>
      <c r="FT110" s="160"/>
      <c r="FU110" s="160"/>
      <c r="FV110" s="160"/>
      <c r="FW110" s="160"/>
      <c r="FX110" s="160"/>
      <c r="FY110" s="160"/>
      <c r="FZ110" s="160"/>
      <c r="GA110" s="160"/>
      <c r="GB110" s="160"/>
      <c r="GC110" s="160"/>
      <c r="GD110" s="160"/>
      <c r="GE110" s="160"/>
      <c r="GF110" s="160"/>
      <c r="GG110" s="160"/>
      <c r="GH110" s="160"/>
      <c r="GI110" s="160"/>
      <c r="GJ110" s="160"/>
      <c r="GK110" s="160"/>
      <c r="GL110" s="160"/>
      <c r="GM110" s="160"/>
      <c r="GN110" s="160"/>
      <c r="GO110" s="160"/>
      <c r="GP110" s="160"/>
    </row>
    <row r="111" spans="1:198" ht="15.6">
      <c r="A111" s="819"/>
      <c r="B111" s="761"/>
      <c r="C111" s="820"/>
      <c r="D111" s="821"/>
      <c r="E111" s="822"/>
      <c r="F111" s="823"/>
    </row>
    <row r="112" spans="1:198">
      <c r="A112" s="421"/>
      <c r="B112" s="212" t="s">
        <v>1012</v>
      </c>
      <c r="C112" s="213"/>
      <c r="D112" s="214"/>
      <c r="E112" s="215"/>
      <c r="F112" s="216"/>
    </row>
    <row r="113" spans="1:6">
      <c r="A113" s="422">
        <v>11.8</v>
      </c>
      <c r="B113" s="212" t="s">
        <v>1461</v>
      </c>
      <c r="C113" s="213"/>
      <c r="D113" s="214"/>
      <c r="E113" s="215"/>
      <c r="F113" s="216"/>
    </row>
    <row r="114" spans="1:6" ht="28.8">
      <c r="A114" s="421" t="s">
        <v>1617</v>
      </c>
      <c r="B114" s="217" t="s">
        <v>486</v>
      </c>
      <c r="C114" s="213" t="s">
        <v>329</v>
      </c>
      <c r="D114" s="214" t="s">
        <v>468</v>
      </c>
      <c r="E114" s="215"/>
      <c r="F114" s="190"/>
    </row>
    <row r="115" spans="1:6" ht="15.6">
      <c r="A115" s="1045"/>
      <c r="B115" s="1078"/>
      <c r="C115" s="1047"/>
      <c r="D115" s="1048"/>
      <c r="E115" s="1049"/>
      <c r="F115" s="1079"/>
    </row>
    <row r="116" spans="1:6" ht="15" thickBot="1">
      <c r="A116" s="422"/>
      <c r="B116" s="761" t="s">
        <v>1002</v>
      </c>
      <c r="C116" s="219"/>
      <c r="D116" s="220"/>
      <c r="E116" s="221"/>
      <c r="F116" s="785"/>
    </row>
    <row r="117" spans="1:6">
      <c r="A117" s="421"/>
      <c r="B117" s="227" t="s">
        <v>669</v>
      </c>
      <c r="C117" s="225"/>
      <c r="D117" s="225"/>
      <c r="E117" s="225"/>
      <c r="F117" s="226"/>
    </row>
    <row r="118" spans="1:6">
      <c r="A118" s="421"/>
      <c r="B118" s="225"/>
      <c r="C118" s="225"/>
      <c r="D118" s="225"/>
      <c r="E118" s="225"/>
      <c r="F118" s="226"/>
    </row>
    <row r="119" spans="1:6">
      <c r="A119" s="421">
        <f>A7</f>
        <v>11.1</v>
      </c>
      <c r="B119" s="225" t="str">
        <f>B7</f>
        <v>ELEMENT NO. 1 : SITE CLEARING</v>
      </c>
      <c r="C119" s="225"/>
      <c r="D119" s="225"/>
      <c r="E119" s="225"/>
      <c r="F119" s="226"/>
    </row>
    <row r="120" spans="1:6">
      <c r="A120" s="1045">
        <f>A13</f>
        <v>11.2</v>
      </c>
      <c r="B120" s="1076" t="str">
        <f>B13</f>
        <v>ELEMENT NO. 2 RENOVATION</v>
      </c>
      <c r="C120" s="1060"/>
      <c r="D120" s="1060"/>
      <c r="E120" s="1060"/>
      <c r="F120" s="1101"/>
    </row>
    <row r="121" spans="1:6">
      <c r="A121" s="1045">
        <f>A37</f>
        <v>11.3</v>
      </c>
      <c r="B121" s="1076" t="str">
        <f>B37</f>
        <v>ELEMENT NO. 3 ROOFING</v>
      </c>
      <c r="C121" s="1060"/>
      <c r="D121" s="1060"/>
      <c r="E121" s="1060"/>
      <c r="F121" s="1101"/>
    </row>
    <row r="122" spans="1:6">
      <c r="A122" s="1045">
        <f>A65</f>
        <v>11.4</v>
      </c>
      <c r="B122" s="1076" t="str">
        <f>B65</f>
        <v>ELEMENT NO. 4 - DOORS</v>
      </c>
      <c r="C122" s="1060"/>
      <c r="D122" s="1060"/>
      <c r="E122" s="1060"/>
      <c r="F122" s="1101"/>
    </row>
    <row r="123" spans="1:6">
      <c r="A123" s="1045">
        <f>A80</f>
        <v>11.5</v>
      </c>
      <c r="B123" s="1076" t="str">
        <f>B80</f>
        <v>ELEMENT NO. 5 - WINDOWS</v>
      </c>
      <c r="C123" s="1060"/>
      <c r="D123" s="1060"/>
      <c r="E123" s="1060"/>
      <c r="F123" s="1101"/>
    </row>
    <row r="124" spans="1:6">
      <c r="A124" s="1045">
        <f>A86</f>
        <v>11.6</v>
      </c>
      <c r="B124" s="1076" t="str">
        <f>B86</f>
        <v>ELEMENT NO.6 - STORAGE SHELVES</v>
      </c>
      <c r="C124" s="1060"/>
      <c r="D124" s="1060"/>
      <c r="E124" s="1060"/>
      <c r="F124" s="1101"/>
    </row>
    <row r="125" spans="1:6">
      <c r="A125" s="1045">
        <f>A92</f>
        <v>11.7</v>
      </c>
      <c r="B125" s="1076" t="str">
        <f>B92</f>
        <v>ELEMENT NO. 7: ELECTRICAL INSTALLATIONS AND SERVICES</v>
      </c>
      <c r="C125" s="1060"/>
      <c r="D125" s="1060"/>
      <c r="E125" s="1060"/>
      <c r="F125" s="1101"/>
    </row>
    <row r="126" spans="1:6">
      <c r="A126" s="421">
        <f>A113</f>
        <v>11.8</v>
      </c>
      <c r="B126" s="225" t="str">
        <f>B113</f>
        <v>ELEMENT NO. 8: STEPS AND RUMPS</v>
      </c>
      <c r="C126" s="225"/>
      <c r="D126" s="225"/>
      <c r="E126" s="225"/>
      <c r="F126" s="226"/>
    </row>
    <row r="127" spans="1:6">
      <c r="A127" s="421"/>
      <c r="B127" s="225"/>
      <c r="C127" s="225"/>
      <c r="D127" s="225"/>
      <c r="E127" s="225"/>
      <c r="F127" s="226"/>
    </row>
    <row r="128" spans="1:6">
      <c r="A128" s="421"/>
      <c r="B128" s="225"/>
      <c r="C128" s="225"/>
      <c r="D128" s="225"/>
      <c r="E128" s="225"/>
      <c r="F128" s="226"/>
    </row>
    <row r="129" spans="1:6">
      <c r="A129" s="422"/>
      <c r="B129" s="227" t="s">
        <v>1625</v>
      </c>
      <c r="C129" s="227"/>
      <c r="D129" s="227"/>
      <c r="E129" s="227"/>
      <c r="F129" s="228"/>
    </row>
  </sheetData>
  <pageMargins left="0.7" right="0.7" top="0.75" bottom="0.75" header="0.3" footer="0.3"/>
  <pageSetup scale="64" orientation="portrait" r:id="rId1"/>
  <rowBreaks count="1" manualBreakCount="1">
    <brk id="84"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view="pageBreakPreview" zoomScaleNormal="100" zoomScaleSheetLayoutView="100" workbookViewId="0">
      <pane xSplit="1" ySplit="1" topLeftCell="B2" activePane="bottomRight" state="frozen"/>
      <selection pane="topRight" activeCell="B1" sqref="B1"/>
      <selection pane="bottomLeft" activeCell="A2" sqref="A2"/>
      <selection pane="bottomRight" activeCell="G1" sqref="G1:I1048576"/>
    </sheetView>
  </sheetViews>
  <sheetFormatPr defaultRowHeight="13.2"/>
  <cols>
    <col min="1" max="1" width="7.33203125" customWidth="1"/>
    <col min="2" max="2" width="50.6640625" customWidth="1"/>
    <col min="3" max="4" width="5.6640625" bestFit="1" customWidth="1"/>
    <col min="6" max="6" width="11.5546875" style="502" bestFit="1" customWidth="1"/>
  </cols>
  <sheetData>
    <row r="1" spans="1:6" s="45" customFormat="1" ht="14.4">
      <c r="A1" s="46" t="s">
        <v>260</v>
      </c>
      <c r="B1" s="46" t="s">
        <v>13</v>
      </c>
      <c r="C1" s="46" t="s">
        <v>330</v>
      </c>
      <c r="D1" s="47" t="s">
        <v>331</v>
      </c>
      <c r="E1" s="48" t="s">
        <v>418</v>
      </c>
      <c r="F1" s="494"/>
    </row>
    <row r="2" spans="1:6" ht="14.4">
      <c r="A2" s="39"/>
      <c r="B2" s="40"/>
      <c r="C2" s="39"/>
      <c r="D2" s="41"/>
      <c r="E2" s="42"/>
      <c r="F2" s="495"/>
    </row>
    <row r="3" spans="1:6" s="9" customFormat="1" ht="30">
      <c r="A3" s="33"/>
      <c r="B3" s="53" t="s">
        <v>417</v>
      </c>
      <c r="C3" s="53"/>
      <c r="D3" s="53"/>
      <c r="E3" s="53"/>
      <c r="F3" s="496"/>
    </row>
    <row r="4" spans="1:6" s="9" customFormat="1" ht="15">
      <c r="A4" s="33"/>
      <c r="B4" s="43"/>
      <c r="C4" s="34"/>
      <c r="D4" s="38"/>
      <c r="E4" s="34"/>
      <c r="F4" s="497"/>
    </row>
    <row r="5" spans="1:6" s="1" customFormat="1" ht="15">
      <c r="A5" s="33"/>
      <c r="B5" s="43" t="s">
        <v>1641</v>
      </c>
      <c r="C5" s="34"/>
      <c r="D5" s="38"/>
      <c r="E5" s="34"/>
      <c r="F5" s="497"/>
    </row>
    <row r="6" spans="1:6" ht="14.4">
      <c r="A6" s="239">
        <v>12.1</v>
      </c>
      <c r="B6" s="245" t="s">
        <v>419</v>
      </c>
      <c r="C6" s="237"/>
      <c r="D6" s="238"/>
      <c r="E6" s="239"/>
      <c r="F6" s="498"/>
    </row>
    <row r="7" spans="1:6" ht="16.2">
      <c r="A7" s="240" t="s">
        <v>940</v>
      </c>
      <c r="B7" s="241" t="s">
        <v>333</v>
      </c>
      <c r="C7" s="242" t="s">
        <v>500</v>
      </c>
      <c r="D7" s="242">
        <v>12</v>
      </c>
      <c r="E7" s="243"/>
      <c r="F7" s="499"/>
    </row>
    <row r="8" spans="1:6" ht="14.4">
      <c r="A8" s="240" t="s">
        <v>11</v>
      </c>
      <c r="B8" s="241" t="s">
        <v>334</v>
      </c>
      <c r="C8" s="243"/>
      <c r="D8" s="242"/>
      <c r="E8" s="243"/>
      <c r="F8" s="499"/>
    </row>
    <row r="9" spans="1:6" ht="43.2">
      <c r="A9" s="240" t="s">
        <v>941</v>
      </c>
      <c r="B9" s="241" t="s">
        <v>466</v>
      </c>
      <c r="C9" s="243" t="s">
        <v>329</v>
      </c>
      <c r="D9" s="242">
        <v>1</v>
      </c>
      <c r="E9" s="243"/>
      <c r="F9" s="499"/>
    </row>
    <row r="10" spans="1:6" ht="14.4">
      <c r="A10" s="240"/>
      <c r="B10" s="241"/>
      <c r="C10" s="243"/>
      <c r="D10" s="242"/>
      <c r="E10" s="243"/>
      <c r="F10" s="499"/>
    </row>
    <row r="11" spans="1:6" ht="14.4">
      <c r="A11" s="240">
        <v>12.2</v>
      </c>
      <c r="B11" s="245" t="s">
        <v>335</v>
      </c>
      <c r="C11" s="243"/>
      <c r="D11" s="242"/>
      <c r="E11" s="243"/>
      <c r="F11" s="499"/>
    </row>
    <row r="12" spans="1:6" ht="14.4">
      <c r="A12" s="240" t="s">
        <v>942</v>
      </c>
      <c r="B12" s="241" t="s">
        <v>280</v>
      </c>
      <c r="C12" s="243"/>
      <c r="D12" s="242"/>
      <c r="E12" s="243"/>
      <c r="F12" s="499"/>
    </row>
    <row r="13" spans="1:6" ht="14.4">
      <c r="A13" s="240"/>
      <c r="B13" s="241" t="s">
        <v>281</v>
      </c>
      <c r="C13" s="243"/>
      <c r="D13" s="242"/>
      <c r="E13" s="243"/>
      <c r="F13" s="499"/>
    </row>
    <row r="14" spans="1:6" ht="16.2">
      <c r="A14" s="240" t="s">
        <v>943</v>
      </c>
      <c r="B14" s="241" t="s">
        <v>321</v>
      </c>
      <c r="C14" s="242" t="s">
        <v>501</v>
      </c>
      <c r="D14" s="242">
        <v>3</v>
      </c>
      <c r="E14" s="243"/>
      <c r="F14" s="499"/>
    </row>
    <row r="15" spans="1:6" ht="14.4">
      <c r="A15" s="240" t="s">
        <v>944</v>
      </c>
      <c r="B15" s="241" t="s">
        <v>420</v>
      </c>
      <c r="C15" s="243"/>
      <c r="D15" s="242"/>
      <c r="E15" s="243"/>
      <c r="F15" s="499"/>
    </row>
    <row r="16" spans="1:6" ht="16.2">
      <c r="A16" s="240"/>
      <c r="B16" s="241" t="s">
        <v>336</v>
      </c>
      <c r="C16" s="242" t="s">
        <v>501</v>
      </c>
      <c r="D16" s="242">
        <v>0.60000000000000009</v>
      </c>
      <c r="E16" s="243"/>
      <c r="F16" s="499"/>
    </row>
    <row r="17" spans="1:6" ht="16.2">
      <c r="A17" s="240" t="s">
        <v>945</v>
      </c>
      <c r="B17" s="241" t="s">
        <v>421</v>
      </c>
      <c r="C17" s="242" t="s">
        <v>501</v>
      </c>
      <c r="D17" s="242">
        <v>3</v>
      </c>
      <c r="E17" s="243"/>
      <c r="F17" s="499"/>
    </row>
    <row r="18" spans="1:6" ht="16.2">
      <c r="A18" s="240" t="s">
        <v>946</v>
      </c>
      <c r="B18" s="241" t="s">
        <v>422</v>
      </c>
      <c r="C18" s="242" t="s">
        <v>501</v>
      </c>
      <c r="D18" s="242">
        <v>1</v>
      </c>
      <c r="E18" s="243"/>
      <c r="F18" s="499"/>
    </row>
    <row r="19" spans="1:6" ht="14.4">
      <c r="A19" s="246"/>
      <c r="B19" s="245" t="s">
        <v>283</v>
      </c>
      <c r="C19" s="243"/>
      <c r="D19" s="242"/>
      <c r="E19" s="243"/>
      <c r="F19" s="499"/>
    </row>
    <row r="20" spans="1:6" ht="14.4">
      <c r="A20" s="246" t="s">
        <v>947</v>
      </c>
      <c r="B20" s="241" t="s">
        <v>284</v>
      </c>
      <c r="C20" s="243"/>
      <c r="D20" s="242"/>
      <c r="E20" s="243"/>
      <c r="F20" s="499"/>
    </row>
    <row r="21" spans="1:6" ht="16.2">
      <c r="A21" s="246"/>
      <c r="B21" s="241" t="s">
        <v>306</v>
      </c>
      <c r="C21" s="242" t="s">
        <v>501</v>
      </c>
      <c r="D21" s="242">
        <v>9</v>
      </c>
      <c r="E21" s="243"/>
      <c r="F21" s="499"/>
    </row>
    <row r="22" spans="1:6" ht="14.4">
      <c r="A22" s="246" t="s">
        <v>948</v>
      </c>
      <c r="B22" s="241" t="s">
        <v>337</v>
      </c>
      <c r="C22" s="243"/>
      <c r="D22" s="242"/>
      <c r="E22" s="243"/>
      <c r="F22" s="499"/>
    </row>
    <row r="23" spans="1:6" ht="14.4">
      <c r="A23" s="246"/>
      <c r="B23" s="241" t="s">
        <v>338</v>
      </c>
      <c r="C23" s="243"/>
      <c r="D23" s="242"/>
      <c r="E23" s="243"/>
      <c r="F23" s="499"/>
    </row>
    <row r="24" spans="1:6" ht="16.2">
      <c r="A24" s="246"/>
      <c r="B24" s="241" t="s">
        <v>339</v>
      </c>
      <c r="C24" s="242" t="s">
        <v>501</v>
      </c>
      <c r="D24" s="242">
        <v>21</v>
      </c>
      <c r="E24" s="243"/>
      <c r="F24" s="499"/>
    </row>
    <row r="25" spans="1:6" ht="14.4">
      <c r="A25" s="246"/>
      <c r="B25" s="241"/>
      <c r="C25" s="243"/>
      <c r="D25" s="242"/>
      <c r="E25" s="243"/>
      <c r="F25" s="499"/>
    </row>
    <row r="26" spans="1:6" ht="14.4">
      <c r="A26" s="247">
        <v>12.3</v>
      </c>
      <c r="B26" s="245" t="s">
        <v>340</v>
      </c>
      <c r="C26" s="248"/>
      <c r="D26" s="249"/>
      <c r="E26" s="248"/>
      <c r="F26" s="500"/>
    </row>
    <row r="27" spans="1:6" ht="14.4">
      <c r="A27" s="246"/>
      <c r="B27" s="245" t="s">
        <v>285</v>
      </c>
      <c r="C27" s="243"/>
      <c r="D27" s="242"/>
      <c r="E27" s="243"/>
      <c r="F27" s="499"/>
    </row>
    <row r="28" spans="1:6" ht="16.2">
      <c r="A28" s="246" t="s">
        <v>949</v>
      </c>
      <c r="B28" s="241" t="s">
        <v>423</v>
      </c>
      <c r="C28" s="242" t="s">
        <v>501</v>
      </c>
      <c r="D28" s="242">
        <v>2</v>
      </c>
      <c r="E28" s="243"/>
      <c r="F28" s="499"/>
    </row>
    <row r="29" spans="1:6" ht="14.4">
      <c r="A29" s="246"/>
      <c r="B29" s="245" t="s">
        <v>843</v>
      </c>
      <c r="C29" s="243"/>
      <c r="D29" s="242"/>
      <c r="E29" s="243"/>
      <c r="F29" s="499"/>
    </row>
    <row r="30" spans="1:6" ht="14.4">
      <c r="A30" s="246"/>
      <c r="B30" s="245" t="s">
        <v>342</v>
      </c>
      <c r="C30" s="243"/>
      <c r="D30" s="242"/>
      <c r="E30" s="243"/>
      <c r="F30" s="499"/>
    </row>
    <row r="31" spans="1:6" ht="16.2">
      <c r="A31" s="246" t="s">
        <v>950</v>
      </c>
      <c r="B31" s="241" t="s">
        <v>322</v>
      </c>
      <c r="C31" s="242" t="s">
        <v>501</v>
      </c>
      <c r="D31" s="242">
        <v>5.67</v>
      </c>
      <c r="E31" s="243"/>
      <c r="F31" s="499"/>
    </row>
    <row r="32" spans="1:6" ht="16.2">
      <c r="A32" s="246" t="s">
        <v>951</v>
      </c>
      <c r="B32" s="241" t="s">
        <v>343</v>
      </c>
      <c r="C32" s="242" t="s">
        <v>501</v>
      </c>
      <c r="D32" s="242">
        <v>5.67</v>
      </c>
      <c r="E32" s="243"/>
      <c r="F32" s="499"/>
    </row>
    <row r="33" spans="1:6" ht="16.2">
      <c r="A33" s="246" t="s">
        <v>952</v>
      </c>
      <c r="B33" s="241" t="s">
        <v>674</v>
      </c>
      <c r="C33" s="242" t="s">
        <v>501</v>
      </c>
      <c r="D33" s="242">
        <v>5.67</v>
      </c>
      <c r="E33" s="243"/>
      <c r="F33" s="499"/>
    </row>
    <row r="34" spans="1:6" ht="14.4">
      <c r="A34" s="246"/>
      <c r="B34" s="245" t="s">
        <v>344</v>
      </c>
      <c r="C34" s="243"/>
      <c r="D34" s="242"/>
      <c r="E34" s="243"/>
      <c r="F34" s="499"/>
    </row>
    <row r="35" spans="1:6" ht="14.4">
      <c r="A35" s="246" t="s">
        <v>953</v>
      </c>
      <c r="B35" s="241" t="s">
        <v>840</v>
      </c>
      <c r="C35" s="243"/>
      <c r="D35" s="242"/>
      <c r="E35" s="243"/>
      <c r="F35" s="499"/>
    </row>
    <row r="36" spans="1:6" ht="16.2">
      <c r="A36" s="246"/>
      <c r="B36" s="241" t="s">
        <v>839</v>
      </c>
      <c r="C36" s="242" t="s">
        <v>501</v>
      </c>
      <c r="D36" s="242">
        <f>0.15*4*4</f>
        <v>2.4</v>
      </c>
      <c r="E36" s="243"/>
      <c r="F36" s="499"/>
    </row>
    <row r="37" spans="1:6" ht="16.2">
      <c r="A37" s="246" t="s">
        <v>954</v>
      </c>
      <c r="B37" s="241" t="s">
        <v>841</v>
      </c>
      <c r="C37" s="242" t="s">
        <v>501</v>
      </c>
      <c r="D37" s="242">
        <f>0.2*4*4</f>
        <v>3.2</v>
      </c>
      <c r="E37" s="243"/>
      <c r="F37" s="499"/>
    </row>
    <row r="38" spans="1:6" ht="16.2">
      <c r="A38" s="246" t="s">
        <v>955</v>
      </c>
      <c r="B38" s="241" t="s">
        <v>842</v>
      </c>
      <c r="C38" s="242" t="s">
        <v>501</v>
      </c>
      <c r="D38" s="242">
        <f>0.2*4*4</f>
        <v>3.2</v>
      </c>
      <c r="E38" s="243"/>
      <c r="F38" s="499"/>
    </row>
    <row r="39" spans="1:6" ht="14.4">
      <c r="A39" s="246"/>
      <c r="B39" s="245" t="s">
        <v>425</v>
      </c>
      <c r="C39" s="242"/>
      <c r="D39" s="242"/>
      <c r="E39" s="243"/>
      <c r="F39" s="499"/>
    </row>
    <row r="40" spans="1:6" ht="16.2">
      <c r="A40" s="246" t="s">
        <v>956</v>
      </c>
      <c r="B40" s="241" t="s">
        <v>426</v>
      </c>
      <c r="C40" s="242" t="s">
        <v>501</v>
      </c>
      <c r="D40" s="242">
        <v>3.5999999999999996</v>
      </c>
      <c r="E40" s="243"/>
      <c r="F40" s="499"/>
    </row>
    <row r="41" spans="1:6" ht="16.2">
      <c r="A41" s="246" t="s">
        <v>957</v>
      </c>
      <c r="B41" s="241" t="s">
        <v>427</v>
      </c>
      <c r="C41" s="242" t="s">
        <v>501</v>
      </c>
      <c r="D41" s="242">
        <v>2.16</v>
      </c>
      <c r="E41" s="243"/>
      <c r="F41" s="499"/>
    </row>
    <row r="42" spans="1:6" ht="16.2">
      <c r="A42" s="246" t="s">
        <v>958</v>
      </c>
      <c r="B42" s="241" t="s">
        <v>428</v>
      </c>
      <c r="C42" s="242" t="s">
        <v>501</v>
      </c>
      <c r="D42" s="242">
        <v>12.96</v>
      </c>
      <c r="E42" s="243"/>
      <c r="F42" s="499"/>
    </row>
    <row r="43" spans="1:6" ht="14.4">
      <c r="A43" s="246"/>
      <c r="B43" s="241"/>
      <c r="C43" s="243"/>
      <c r="D43" s="242"/>
      <c r="E43" s="243"/>
      <c r="F43" s="499"/>
    </row>
    <row r="44" spans="1:6" s="45" customFormat="1" ht="14.4">
      <c r="A44" s="247"/>
      <c r="B44" s="245" t="s">
        <v>872</v>
      </c>
      <c r="C44" s="248"/>
      <c r="D44" s="249"/>
      <c r="E44" s="248"/>
      <c r="F44" s="500"/>
    </row>
    <row r="45" spans="1:6" s="45" customFormat="1" ht="14.4">
      <c r="A45" s="46" t="s">
        <v>260</v>
      </c>
      <c r="B45" s="46" t="s">
        <v>13</v>
      </c>
      <c r="C45" s="46" t="s">
        <v>330</v>
      </c>
      <c r="D45" s="47" t="s">
        <v>331</v>
      </c>
      <c r="E45" s="48" t="s">
        <v>418</v>
      </c>
      <c r="F45" s="494"/>
    </row>
    <row r="46" spans="1:6" s="503" customFormat="1" ht="14.4">
      <c r="A46" s="251"/>
      <c r="B46" s="251" t="s">
        <v>836</v>
      </c>
      <c r="C46" s="251"/>
      <c r="D46" s="252"/>
      <c r="E46" s="153"/>
      <c r="F46" s="501"/>
    </row>
    <row r="47" spans="1:6" ht="12.6" customHeight="1">
      <c r="A47" s="246">
        <v>12.4</v>
      </c>
      <c r="B47" s="245" t="s">
        <v>846</v>
      </c>
      <c r="C47" s="243"/>
      <c r="D47" s="242"/>
      <c r="E47" s="243"/>
      <c r="F47" s="499"/>
    </row>
    <row r="48" spans="1:6" ht="14.4">
      <c r="A48" s="246"/>
      <c r="B48" s="245" t="s">
        <v>286</v>
      </c>
      <c r="C48" s="243"/>
      <c r="D48" s="242"/>
      <c r="E48" s="243"/>
      <c r="F48" s="499"/>
    </row>
    <row r="49" spans="1:6" ht="28.8">
      <c r="A49" s="246" t="s">
        <v>959</v>
      </c>
      <c r="B49" s="241" t="s">
        <v>429</v>
      </c>
      <c r="C49" s="243"/>
      <c r="D49" s="242"/>
      <c r="E49" s="243"/>
      <c r="F49" s="499"/>
    </row>
    <row r="50" spans="1:6" ht="14.4">
      <c r="A50" s="246"/>
      <c r="B50" s="245" t="s">
        <v>342</v>
      </c>
      <c r="C50" s="243"/>
      <c r="D50" s="242"/>
      <c r="E50" s="243"/>
      <c r="F50" s="499"/>
    </row>
    <row r="51" spans="1:6" ht="14.4">
      <c r="A51" s="246" t="s">
        <v>960</v>
      </c>
      <c r="B51" s="241" t="s">
        <v>430</v>
      </c>
      <c r="C51" s="243"/>
      <c r="D51" s="242"/>
      <c r="E51" s="243"/>
      <c r="F51" s="499"/>
    </row>
    <row r="52" spans="1:6" ht="28.8">
      <c r="A52" s="246"/>
      <c r="B52" s="241" t="s">
        <v>431</v>
      </c>
      <c r="C52" s="243" t="s">
        <v>287</v>
      </c>
      <c r="D52" s="242">
        <v>190</v>
      </c>
      <c r="E52" s="243"/>
      <c r="F52" s="499"/>
    </row>
    <row r="53" spans="1:6" ht="14.4">
      <c r="A53" s="246" t="s">
        <v>961</v>
      </c>
      <c r="B53" s="241" t="s">
        <v>432</v>
      </c>
      <c r="C53" s="243"/>
      <c r="D53" s="242"/>
      <c r="E53" s="243"/>
      <c r="F53" s="499"/>
    </row>
    <row r="54" spans="1:6" ht="28.8">
      <c r="A54" s="246"/>
      <c r="B54" s="241" t="s">
        <v>433</v>
      </c>
      <c r="C54" s="243" t="s">
        <v>287</v>
      </c>
      <c r="D54" s="242">
        <v>425</v>
      </c>
      <c r="E54" s="243"/>
      <c r="F54" s="499"/>
    </row>
    <row r="55" spans="1:6" ht="14.4">
      <c r="A55" s="246"/>
      <c r="B55" s="245" t="s">
        <v>844</v>
      </c>
      <c r="C55" s="243"/>
      <c r="D55" s="242"/>
      <c r="E55" s="243"/>
      <c r="F55" s="499"/>
    </row>
    <row r="56" spans="1:6" ht="14.4">
      <c r="A56" s="246"/>
      <c r="B56" s="245"/>
      <c r="C56" s="243"/>
      <c r="D56" s="242"/>
      <c r="E56" s="243"/>
      <c r="F56" s="499"/>
    </row>
    <row r="57" spans="1:6" ht="14.4">
      <c r="A57" s="246" t="s">
        <v>962</v>
      </c>
      <c r="B57" s="241" t="s">
        <v>845</v>
      </c>
      <c r="C57" s="243" t="s">
        <v>287</v>
      </c>
      <c r="D57" s="242">
        <v>150</v>
      </c>
      <c r="E57" s="243"/>
      <c r="F57" s="499"/>
    </row>
    <row r="58" spans="1:6" ht="14.4">
      <c r="A58" s="246"/>
      <c r="B58" s="241" t="s">
        <v>845</v>
      </c>
      <c r="C58" s="243"/>
      <c r="D58" s="242"/>
      <c r="E58" s="243"/>
      <c r="F58" s="499"/>
    </row>
    <row r="59" spans="1:6" ht="28.8">
      <c r="A59" s="246" t="s">
        <v>963</v>
      </c>
      <c r="B59" s="241" t="s">
        <v>434</v>
      </c>
      <c r="C59" s="243" t="s">
        <v>287</v>
      </c>
      <c r="D59" s="242">
        <v>250</v>
      </c>
      <c r="E59" s="243"/>
      <c r="F59" s="499"/>
    </row>
    <row r="60" spans="1:6" s="45" customFormat="1" ht="14.4">
      <c r="A60" s="246" t="s">
        <v>964</v>
      </c>
      <c r="B60" s="241" t="s">
        <v>432</v>
      </c>
      <c r="C60" s="243"/>
      <c r="D60" s="242"/>
      <c r="E60" s="243"/>
      <c r="F60" s="499"/>
    </row>
    <row r="61" spans="1:6" s="45" customFormat="1" ht="28.8">
      <c r="A61" s="246"/>
      <c r="B61" s="241" t="s">
        <v>433</v>
      </c>
      <c r="C61" s="243" t="s">
        <v>287</v>
      </c>
      <c r="D61" s="242">
        <v>180</v>
      </c>
      <c r="E61" s="243"/>
      <c r="F61" s="499"/>
    </row>
    <row r="62" spans="1:6" s="45" customFormat="1" ht="14.4">
      <c r="A62" s="246"/>
      <c r="B62" s="241"/>
      <c r="C62" s="243"/>
      <c r="D62" s="242"/>
      <c r="E62" s="243"/>
      <c r="F62" s="499"/>
    </row>
    <row r="63" spans="1:6" ht="14.4">
      <c r="A63" s="254">
        <v>12.5</v>
      </c>
      <c r="B63" s="245" t="s">
        <v>847</v>
      </c>
      <c r="C63" s="243"/>
      <c r="D63" s="242"/>
      <c r="E63" s="243"/>
      <c r="F63" s="499"/>
    </row>
    <row r="64" spans="1:6" ht="43.2">
      <c r="A64" s="246"/>
      <c r="B64" s="241" t="s">
        <v>489</v>
      </c>
      <c r="C64" s="243"/>
      <c r="D64" s="242"/>
      <c r="E64" s="243"/>
      <c r="F64" s="499"/>
    </row>
    <row r="65" spans="1:6" ht="14.4">
      <c r="A65" s="246" t="s">
        <v>965</v>
      </c>
      <c r="B65" s="241" t="s">
        <v>296</v>
      </c>
      <c r="C65" s="243"/>
      <c r="D65" s="242"/>
      <c r="E65" s="243"/>
      <c r="F65" s="499"/>
    </row>
    <row r="66" spans="1:6" ht="16.2">
      <c r="A66" s="246"/>
      <c r="B66" s="241" t="s">
        <v>308</v>
      </c>
      <c r="C66" s="242" t="s">
        <v>500</v>
      </c>
      <c r="D66" s="242">
        <v>12</v>
      </c>
      <c r="E66" s="243"/>
      <c r="F66" s="499"/>
    </row>
    <row r="67" spans="1:6" s="45" customFormat="1" ht="14.4">
      <c r="A67" s="254">
        <v>12.6</v>
      </c>
      <c r="B67" s="245" t="s">
        <v>848</v>
      </c>
      <c r="C67" s="248"/>
      <c r="D67" s="249"/>
      <c r="E67" s="248"/>
      <c r="F67" s="500"/>
    </row>
    <row r="68" spans="1:6" ht="14.4">
      <c r="A68" s="246" t="s">
        <v>966</v>
      </c>
      <c r="B68" s="241" t="s">
        <v>435</v>
      </c>
      <c r="C68" s="243"/>
      <c r="D68" s="242"/>
      <c r="E68" s="243"/>
      <c r="F68" s="499"/>
    </row>
    <row r="69" spans="1:6" ht="28.8">
      <c r="A69" s="246"/>
      <c r="B69" s="241" t="s">
        <v>431</v>
      </c>
      <c r="C69" s="243" t="s">
        <v>287</v>
      </c>
      <c r="D69" s="242">
        <v>72</v>
      </c>
      <c r="E69" s="243"/>
      <c r="F69" s="499"/>
    </row>
    <row r="70" spans="1:6" ht="14.4">
      <c r="A70" s="246"/>
      <c r="B70" s="241"/>
      <c r="C70" s="243"/>
      <c r="D70" s="242"/>
      <c r="E70" s="243"/>
      <c r="F70" s="499"/>
    </row>
    <row r="71" spans="1:6" ht="14.4">
      <c r="A71" s="254">
        <v>12.7</v>
      </c>
      <c r="B71" s="245" t="s">
        <v>862</v>
      </c>
      <c r="C71" s="243"/>
      <c r="D71" s="242"/>
      <c r="E71" s="243"/>
      <c r="F71" s="499"/>
    </row>
    <row r="72" spans="1:6" ht="16.2">
      <c r="A72" s="246" t="s">
        <v>967</v>
      </c>
      <c r="B72" s="241" t="s">
        <v>345</v>
      </c>
      <c r="C72" s="242" t="s">
        <v>500</v>
      </c>
      <c r="D72" s="242">
        <v>3.6</v>
      </c>
      <c r="E72" s="243"/>
      <c r="F72" s="499"/>
    </row>
    <row r="73" spans="1:6" ht="16.2">
      <c r="A73" s="246" t="s">
        <v>968</v>
      </c>
      <c r="B73" s="241" t="s">
        <v>346</v>
      </c>
      <c r="C73" s="242" t="s">
        <v>500</v>
      </c>
      <c r="D73" s="242">
        <v>8</v>
      </c>
      <c r="E73" s="243"/>
      <c r="F73" s="499"/>
    </row>
    <row r="74" spans="1:6" s="11" customFormat="1" ht="16.2">
      <c r="A74" s="246" t="s">
        <v>969</v>
      </c>
      <c r="B74" s="241" t="s">
        <v>436</v>
      </c>
      <c r="C74" s="242" t="s">
        <v>500</v>
      </c>
      <c r="D74" s="242">
        <v>8</v>
      </c>
      <c r="E74" s="243"/>
      <c r="F74" s="499"/>
    </row>
    <row r="75" spans="1:6" s="11" customFormat="1" ht="16.2">
      <c r="A75" s="246" t="s">
        <v>970</v>
      </c>
      <c r="B75" s="241" t="s">
        <v>437</v>
      </c>
      <c r="C75" s="242" t="s">
        <v>500</v>
      </c>
      <c r="D75" s="242">
        <v>43.2</v>
      </c>
      <c r="E75" s="243"/>
      <c r="F75" s="499"/>
    </row>
    <row r="76" spans="1:6" s="11" customFormat="1" ht="14.4">
      <c r="A76" s="246"/>
      <c r="B76" s="241"/>
      <c r="C76" s="242"/>
      <c r="D76" s="242"/>
      <c r="E76" s="243"/>
      <c r="F76" s="499"/>
    </row>
    <row r="77" spans="1:6" ht="14.4">
      <c r="A77" s="254">
        <v>12.8</v>
      </c>
      <c r="B77" s="245" t="s">
        <v>323</v>
      </c>
      <c r="C77" s="248"/>
      <c r="D77" s="249"/>
      <c r="E77" s="248"/>
      <c r="F77" s="499"/>
    </row>
    <row r="78" spans="1:6" ht="28.8">
      <c r="A78" s="246" t="s">
        <v>971</v>
      </c>
      <c r="B78" s="241" t="s">
        <v>849</v>
      </c>
      <c r="C78" s="243" t="s">
        <v>850</v>
      </c>
      <c r="D78" s="242">
        <v>28</v>
      </c>
      <c r="E78" s="243"/>
      <c r="F78" s="499"/>
    </row>
    <row r="79" spans="1:6" ht="14.4">
      <c r="A79" s="246"/>
      <c r="B79" s="241" t="s">
        <v>424</v>
      </c>
      <c r="C79" s="243"/>
      <c r="D79" s="242"/>
      <c r="E79" s="243"/>
      <c r="F79" s="499"/>
    </row>
    <row r="80" spans="1:6" ht="16.2">
      <c r="A80" s="246" t="s">
        <v>972</v>
      </c>
      <c r="B80" s="241" t="s">
        <v>438</v>
      </c>
      <c r="C80" s="242" t="s">
        <v>501</v>
      </c>
      <c r="D80" s="242">
        <v>8.64</v>
      </c>
      <c r="E80" s="243"/>
      <c r="F80" s="499"/>
    </row>
    <row r="81" spans="1:6" ht="14.4">
      <c r="A81" s="246"/>
      <c r="B81" s="241"/>
      <c r="C81" s="242"/>
      <c r="D81" s="242"/>
      <c r="E81" s="243"/>
      <c r="F81" s="499"/>
    </row>
    <row r="82" spans="1:6" ht="14.4">
      <c r="A82" s="246"/>
      <c r="B82" s="241"/>
      <c r="C82" s="242"/>
      <c r="D82" s="242"/>
      <c r="E82" s="243"/>
      <c r="F82" s="499"/>
    </row>
    <row r="83" spans="1:6" s="45" customFormat="1" ht="14.4">
      <c r="A83" s="247"/>
      <c r="B83" s="245" t="s">
        <v>413</v>
      </c>
      <c r="C83" s="249"/>
      <c r="D83" s="249"/>
      <c r="E83" s="248"/>
      <c r="F83" s="500"/>
    </row>
    <row r="84" spans="1:6" s="45" customFormat="1" ht="14.4">
      <c r="A84" s="46" t="s">
        <v>260</v>
      </c>
      <c r="B84" s="46" t="s">
        <v>13</v>
      </c>
      <c r="C84" s="46" t="s">
        <v>330</v>
      </c>
      <c r="D84" s="47" t="s">
        <v>331</v>
      </c>
      <c r="E84" s="48" t="s">
        <v>418</v>
      </c>
      <c r="F84" s="494"/>
    </row>
    <row r="85" spans="1:6" s="503" customFormat="1" ht="14.4">
      <c r="A85" s="251"/>
      <c r="B85" s="251" t="s">
        <v>836</v>
      </c>
      <c r="C85" s="251"/>
      <c r="D85" s="252"/>
      <c r="E85" s="153"/>
      <c r="F85" s="501"/>
    </row>
    <row r="86" spans="1:6" ht="14.4">
      <c r="A86" s="254">
        <v>12.9</v>
      </c>
      <c r="B86" s="245" t="s">
        <v>349</v>
      </c>
      <c r="C86" s="248"/>
      <c r="D86" s="249"/>
      <c r="E86" s="248"/>
      <c r="F86" s="499"/>
    </row>
    <row r="87" spans="1:6" ht="14.4">
      <c r="A87" s="246"/>
      <c r="B87" s="245" t="s">
        <v>302</v>
      </c>
      <c r="C87" s="243"/>
      <c r="D87" s="242"/>
      <c r="E87" s="243"/>
      <c r="F87" s="499"/>
    </row>
    <row r="88" spans="1:6" ht="14.4">
      <c r="A88" s="253"/>
      <c r="B88" s="245" t="s">
        <v>439</v>
      </c>
      <c r="C88" s="243"/>
      <c r="D88" s="242"/>
      <c r="E88" s="243"/>
      <c r="F88" s="499"/>
    </row>
    <row r="89" spans="1:6" ht="16.2">
      <c r="A89" s="246" t="s">
        <v>1626</v>
      </c>
      <c r="B89" s="241" t="s">
        <v>440</v>
      </c>
      <c r="C89" s="242" t="s">
        <v>500</v>
      </c>
      <c r="D89" s="242">
        <v>40</v>
      </c>
      <c r="E89" s="243"/>
      <c r="F89" s="499"/>
    </row>
    <row r="90" spans="1:6" ht="14.4">
      <c r="A90" s="253"/>
      <c r="B90" s="245" t="s">
        <v>299</v>
      </c>
      <c r="C90" s="242"/>
      <c r="D90" s="242"/>
      <c r="E90" s="243"/>
      <c r="F90" s="499"/>
    </row>
    <row r="91" spans="1:6" ht="14.4">
      <c r="A91" s="246"/>
      <c r="B91" s="245" t="s">
        <v>441</v>
      </c>
      <c r="C91" s="242"/>
      <c r="D91" s="242"/>
      <c r="E91" s="243"/>
      <c r="F91" s="499"/>
    </row>
    <row r="92" spans="1:6" ht="14.4">
      <c r="A92" s="246" t="s">
        <v>1627</v>
      </c>
      <c r="B92" s="241" t="s">
        <v>300</v>
      </c>
      <c r="C92" s="242"/>
      <c r="D92" s="242"/>
      <c r="E92" s="243"/>
      <c r="F92" s="499"/>
    </row>
    <row r="93" spans="1:6" ht="19.95" customHeight="1">
      <c r="A93" s="246" t="s">
        <v>1628</v>
      </c>
      <c r="B93" s="241" t="s">
        <v>851</v>
      </c>
      <c r="C93" s="242" t="s">
        <v>500</v>
      </c>
      <c r="D93" s="242">
        <f>(0.1+0.2+0.2)*3.5*4</f>
        <v>7</v>
      </c>
      <c r="E93" s="243"/>
      <c r="F93" s="499"/>
    </row>
    <row r="94" spans="1:6" ht="16.2">
      <c r="A94" s="246" t="s">
        <v>1629</v>
      </c>
      <c r="B94" s="241" t="s">
        <v>442</v>
      </c>
      <c r="C94" s="242" t="s">
        <v>500</v>
      </c>
      <c r="D94" s="242">
        <f>4*6*0.3*4</f>
        <v>28.799999999999997</v>
      </c>
      <c r="E94" s="243"/>
      <c r="F94" s="499"/>
    </row>
    <row r="95" spans="1:6" ht="14.4">
      <c r="A95" s="246"/>
      <c r="B95" s="241"/>
      <c r="C95" s="243"/>
      <c r="D95" s="242"/>
      <c r="E95" s="243"/>
      <c r="F95" s="499"/>
    </row>
    <row r="96" spans="1:6" ht="14.4">
      <c r="A96" s="247">
        <v>12.1</v>
      </c>
      <c r="B96" s="245" t="s">
        <v>869</v>
      </c>
      <c r="C96" s="240"/>
      <c r="D96" s="242"/>
      <c r="E96" s="243"/>
      <c r="F96" s="499"/>
    </row>
    <row r="97" spans="1:6" ht="28.8">
      <c r="A97" s="246" t="s">
        <v>1630</v>
      </c>
      <c r="B97" s="241" t="s">
        <v>443</v>
      </c>
      <c r="C97" s="240"/>
      <c r="D97" s="242"/>
      <c r="E97" s="243"/>
      <c r="F97" s="499"/>
    </row>
    <row r="98" spans="1:6" ht="14.4">
      <c r="A98" s="246"/>
      <c r="B98" s="241" t="s">
        <v>444</v>
      </c>
      <c r="C98" s="240"/>
      <c r="D98" s="242"/>
      <c r="E98" s="243"/>
      <c r="F98" s="499"/>
    </row>
    <row r="99" spans="1:6" ht="14.4">
      <c r="A99" s="246" t="s">
        <v>1631</v>
      </c>
      <c r="B99" s="241" t="s">
        <v>445</v>
      </c>
      <c r="C99" s="240" t="s">
        <v>10</v>
      </c>
      <c r="D99" s="242">
        <v>1</v>
      </c>
      <c r="E99" s="243"/>
      <c r="F99" s="499"/>
    </row>
    <row r="100" spans="1:6" ht="14.4">
      <c r="A100" s="246" t="s">
        <v>1632</v>
      </c>
      <c r="B100" s="241" t="s">
        <v>446</v>
      </c>
      <c r="C100" s="240" t="s">
        <v>10</v>
      </c>
      <c r="D100" s="242">
        <v>1</v>
      </c>
      <c r="E100" s="243"/>
      <c r="F100" s="499"/>
    </row>
    <row r="101" spans="1:6" ht="14.4">
      <c r="A101" s="246" t="s">
        <v>1633</v>
      </c>
      <c r="B101" s="241" t="s">
        <v>447</v>
      </c>
      <c r="C101" s="240" t="s">
        <v>10</v>
      </c>
      <c r="D101" s="242">
        <v>1</v>
      </c>
      <c r="E101" s="243"/>
      <c r="F101" s="499"/>
    </row>
    <row r="102" spans="1:6" ht="14.4">
      <c r="A102" s="246" t="s">
        <v>1634</v>
      </c>
      <c r="B102" s="241" t="s">
        <v>448</v>
      </c>
      <c r="C102" s="240" t="s">
        <v>10</v>
      </c>
      <c r="D102" s="242">
        <v>1</v>
      </c>
      <c r="E102" s="243"/>
      <c r="F102" s="499"/>
    </row>
    <row r="103" spans="1:6" ht="28.8">
      <c r="A103" s="246" t="s">
        <v>1635</v>
      </c>
      <c r="B103" s="241" t="s">
        <v>449</v>
      </c>
      <c r="C103" s="240" t="s">
        <v>10</v>
      </c>
      <c r="D103" s="242">
        <v>1</v>
      </c>
      <c r="E103" s="243"/>
      <c r="F103" s="499"/>
    </row>
    <row r="104" spans="1:6" ht="14.4">
      <c r="A104" s="246" t="s">
        <v>1636</v>
      </c>
      <c r="B104" s="241" t="s">
        <v>450</v>
      </c>
      <c r="C104" s="240" t="s">
        <v>10</v>
      </c>
      <c r="D104" s="242">
        <v>1</v>
      </c>
      <c r="E104" s="243"/>
      <c r="F104" s="499"/>
    </row>
    <row r="105" spans="1:6" ht="43.2">
      <c r="A105" s="246" t="s">
        <v>1637</v>
      </c>
      <c r="B105" s="241" t="s">
        <v>451</v>
      </c>
      <c r="C105" s="240" t="s">
        <v>10</v>
      </c>
      <c r="D105" s="242">
        <v>1</v>
      </c>
      <c r="E105" s="243"/>
      <c r="F105" s="499"/>
    </row>
    <row r="106" spans="1:6" ht="43.2">
      <c r="A106" s="246" t="s">
        <v>1638</v>
      </c>
      <c r="B106" s="241" t="s">
        <v>452</v>
      </c>
      <c r="C106" s="240" t="s">
        <v>10</v>
      </c>
      <c r="D106" s="242">
        <v>1</v>
      </c>
      <c r="E106" s="243"/>
      <c r="F106" s="499"/>
    </row>
    <row r="107" spans="1:6" ht="14.4">
      <c r="A107" s="247">
        <v>12.11</v>
      </c>
      <c r="B107" s="245" t="s">
        <v>555</v>
      </c>
      <c r="C107" s="248"/>
      <c r="D107" s="249"/>
      <c r="E107" s="248"/>
      <c r="F107" s="499"/>
    </row>
    <row r="108" spans="1:6" ht="14.4">
      <c r="A108" s="246" t="s">
        <v>1639</v>
      </c>
      <c r="B108" s="241" t="s">
        <v>556</v>
      </c>
      <c r="C108" s="243" t="s">
        <v>10</v>
      </c>
      <c r="D108" s="242">
        <v>2</v>
      </c>
      <c r="E108" s="243"/>
      <c r="F108" s="499"/>
    </row>
    <row r="109" spans="1:6" ht="14.4">
      <c r="A109" s="246" t="s">
        <v>1640</v>
      </c>
      <c r="B109" s="241" t="s">
        <v>871</v>
      </c>
      <c r="C109" s="243" t="s">
        <v>329</v>
      </c>
      <c r="D109" s="242" t="s">
        <v>468</v>
      </c>
      <c r="E109" s="243"/>
      <c r="F109" s="499"/>
    </row>
    <row r="110" spans="1:6" ht="14.4">
      <c r="A110" s="246"/>
      <c r="B110" s="257"/>
      <c r="C110" s="240"/>
      <c r="D110" s="242"/>
      <c r="E110" s="243"/>
      <c r="F110" s="499"/>
    </row>
    <row r="111" spans="1:6" ht="14.4">
      <c r="A111" s="247"/>
      <c r="B111" s="255" t="s">
        <v>488</v>
      </c>
      <c r="C111" s="256"/>
      <c r="D111" s="249"/>
      <c r="E111" s="248"/>
      <c r="F111" s="500"/>
    </row>
  </sheetData>
  <customSheetViews>
    <customSheetView guid="{58A41188-4CB9-4607-A927-9B98665919B2}" scale="107" showPageBreaks="1" view="pageBreakPreview" topLeftCell="A246">
      <selection activeCell="H242" sqref="H242"/>
      <pageMargins left="0.7" right="0.7" top="0.75" bottom="0.75" header="0.3" footer="0.3"/>
      <pageSetup orientation="portrait" r:id="rId1"/>
    </customSheetView>
    <customSheetView guid="{1E933494-4ABB-4290-95BF-88ADDB331983}" scale="107" showPageBreaks="1" view="pageBreakPreview" topLeftCell="A246">
      <selection activeCell="H242" sqref="H242"/>
      <pageMargins left="0.7" right="0.7" top="0.75" bottom="0.75" header="0.3" footer="0.3"/>
      <pageSetup orientation="portrait" r:id="rId2"/>
    </customSheetView>
  </customSheetViews>
  <pageMargins left="0.7" right="0.7" top="0.75" bottom="0.75" header="0.3" footer="0.3"/>
  <pageSetup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view="pageBreakPreview" zoomScaleNormal="100" zoomScaleSheetLayoutView="100" workbookViewId="0">
      <pane xSplit="1" ySplit="1" topLeftCell="B14" activePane="bottomRight" state="frozen"/>
      <selection pane="topRight" activeCell="B1" sqref="B1"/>
      <selection pane="bottomLeft" activeCell="A2" sqref="A2"/>
      <selection pane="bottomRight" activeCell="G1" sqref="G1:H1048576"/>
    </sheetView>
  </sheetViews>
  <sheetFormatPr defaultColWidth="8.88671875" defaultRowHeight="14.4"/>
  <cols>
    <col min="1" max="1" width="8.5546875" style="62" customWidth="1"/>
    <col min="2" max="2" width="52.6640625" style="62" customWidth="1"/>
    <col min="3" max="3" width="5.33203125" style="479" bestFit="1" customWidth="1"/>
    <col min="4" max="4" width="7.33203125" style="480" bestFit="1" customWidth="1"/>
    <col min="5" max="5" width="6.88671875" style="479" bestFit="1" customWidth="1"/>
    <col min="6" max="6" width="13.33203125" style="493" bestFit="1" customWidth="1"/>
    <col min="7" max="7" width="8.88671875" style="61"/>
    <col min="8" max="16384" width="8.88671875" style="62"/>
  </cols>
  <sheetData>
    <row r="1" spans="1:7">
      <c r="A1" s="58" t="s">
        <v>329</v>
      </c>
      <c r="B1" s="58" t="s">
        <v>473</v>
      </c>
      <c r="C1" s="58" t="s">
        <v>328</v>
      </c>
      <c r="D1" s="59" t="s">
        <v>470</v>
      </c>
      <c r="E1" s="60" t="s">
        <v>475</v>
      </c>
      <c r="F1" s="481"/>
    </row>
    <row r="2" spans="1:7" s="66" customFormat="1">
      <c r="A2" s="63"/>
      <c r="B2" s="64" t="s">
        <v>416</v>
      </c>
      <c r="C2" s="465"/>
      <c r="D2" s="466"/>
      <c r="E2" s="465"/>
      <c r="F2" s="482"/>
      <c r="G2" s="65"/>
    </row>
    <row r="3" spans="1:7">
      <c r="A3" s="63">
        <v>7</v>
      </c>
      <c r="B3" s="67" t="s">
        <v>838</v>
      </c>
      <c r="C3" s="467"/>
      <c r="D3" s="468"/>
      <c r="E3" s="469"/>
      <c r="F3" s="483"/>
    </row>
    <row r="4" spans="1:7" ht="57.6">
      <c r="A4" s="68"/>
      <c r="B4" s="69" t="s">
        <v>775</v>
      </c>
      <c r="C4" s="467"/>
      <c r="D4" s="466"/>
      <c r="E4" s="465"/>
      <c r="F4" s="483"/>
      <c r="G4" s="62"/>
    </row>
    <row r="5" spans="1:7">
      <c r="A5" s="260"/>
      <c r="B5" s="431"/>
      <c r="C5" s="470"/>
      <c r="D5" s="471"/>
      <c r="E5" s="472"/>
      <c r="F5" s="484"/>
      <c r="G5" s="62"/>
    </row>
    <row r="6" spans="1:7">
      <c r="A6" s="260">
        <v>13.1</v>
      </c>
      <c r="B6" s="71" t="s">
        <v>782</v>
      </c>
      <c r="C6" s="470"/>
      <c r="D6" s="471"/>
      <c r="E6" s="472"/>
      <c r="F6" s="484"/>
      <c r="G6" s="62"/>
    </row>
    <row r="7" spans="1:7">
      <c r="A7" s="260"/>
      <c r="B7" s="431"/>
      <c r="C7" s="470"/>
      <c r="D7" s="471"/>
      <c r="E7" s="472"/>
      <c r="F7" s="484"/>
      <c r="G7" s="62"/>
    </row>
    <row r="8" spans="1:7">
      <c r="A8" s="70"/>
      <c r="B8" s="71" t="s">
        <v>810</v>
      </c>
      <c r="C8" s="473"/>
      <c r="D8" s="468"/>
      <c r="E8" s="473"/>
      <c r="F8" s="483"/>
      <c r="G8" s="62"/>
    </row>
    <row r="9" spans="1:7">
      <c r="A9" s="63" t="s">
        <v>1642</v>
      </c>
      <c r="B9" s="72" t="s">
        <v>777</v>
      </c>
      <c r="C9" s="473" t="s">
        <v>282</v>
      </c>
      <c r="D9" s="468">
        <f>CEILING(60*1*0.6,1)</f>
        <v>36</v>
      </c>
      <c r="E9" s="474"/>
      <c r="F9" s="482"/>
      <c r="G9" s="62"/>
    </row>
    <row r="10" spans="1:7">
      <c r="A10" s="63" t="s">
        <v>1643</v>
      </c>
      <c r="B10" s="72" t="s">
        <v>491</v>
      </c>
      <c r="C10" s="473" t="s">
        <v>8</v>
      </c>
      <c r="D10" s="468">
        <f>CEILING(60*0.6,1)</f>
        <v>36</v>
      </c>
      <c r="E10" s="474"/>
      <c r="F10" s="482"/>
      <c r="G10" s="62"/>
    </row>
    <row r="11" spans="1:7" ht="28.8">
      <c r="A11" s="63" t="s">
        <v>1644</v>
      </c>
      <c r="B11" s="72" t="s">
        <v>492</v>
      </c>
      <c r="C11" s="473" t="s">
        <v>8</v>
      </c>
      <c r="D11" s="468">
        <f>D10</f>
        <v>36</v>
      </c>
      <c r="E11" s="474"/>
      <c r="F11" s="482"/>
      <c r="G11" s="62"/>
    </row>
    <row r="12" spans="1:7">
      <c r="A12" s="63" t="s">
        <v>1645</v>
      </c>
      <c r="B12" s="72" t="s">
        <v>789</v>
      </c>
      <c r="C12" s="473" t="s">
        <v>282</v>
      </c>
      <c r="D12" s="468">
        <f>D9-60*1*0.25</f>
        <v>21</v>
      </c>
      <c r="E12" s="474"/>
      <c r="F12" s="482"/>
      <c r="G12" s="62"/>
    </row>
    <row r="13" spans="1:7">
      <c r="A13" s="63" t="s">
        <v>1646</v>
      </c>
      <c r="B13" s="71" t="s">
        <v>778</v>
      </c>
      <c r="C13" s="473"/>
      <c r="D13" s="468"/>
      <c r="E13" s="474"/>
      <c r="F13" s="482"/>
      <c r="G13" s="62"/>
    </row>
    <row r="14" spans="1:7">
      <c r="A14" s="63" t="s">
        <v>1647</v>
      </c>
      <c r="B14" s="72" t="s">
        <v>806</v>
      </c>
      <c r="C14" s="473" t="s">
        <v>287</v>
      </c>
      <c r="D14" s="468">
        <f>CEILING((60/0.2+1)*0.6*0.576*1.1,1)</f>
        <v>115</v>
      </c>
      <c r="E14" s="474"/>
      <c r="F14" s="482"/>
      <c r="G14" s="62"/>
    </row>
    <row r="15" spans="1:7">
      <c r="A15" s="63" t="s">
        <v>1648</v>
      </c>
      <c r="B15" s="72" t="s">
        <v>807</v>
      </c>
      <c r="C15" s="473" t="s">
        <v>287</v>
      </c>
      <c r="D15" s="468">
        <f>CEILING((60*3)*1.1*0.276,1)</f>
        <v>55</v>
      </c>
      <c r="E15" s="474"/>
      <c r="F15" s="482"/>
      <c r="G15" s="62"/>
    </row>
    <row r="16" spans="1:7">
      <c r="A16" s="63"/>
      <c r="B16" s="71" t="s">
        <v>493</v>
      </c>
      <c r="C16" s="465"/>
      <c r="D16" s="466"/>
      <c r="E16" s="472"/>
      <c r="F16" s="482"/>
      <c r="G16" s="62"/>
    </row>
    <row r="17" spans="1:7">
      <c r="A17" s="63" t="s">
        <v>1649</v>
      </c>
      <c r="B17" s="72" t="s">
        <v>776</v>
      </c>
      <c r="C17" s="473" t="s">
        <v>282</v>
      </c>
      <c r="D17" s="468">
        <f>CEILING(0.5*0.2*60,1)</f>
        <v>6</v>
      </c>
      <c r="E17" s="474"/>
      <c r="F17" s="482"/>
      <c r="G17" s="62"/>
    </row>
    <row r="18" spans="1:7">
      <c r="A18" s="63"/>
      <c r="B18" s="71" t="s">
        <v>494</v>
      </c>
      <c r="C18" s="473"/>
      <c r="D18" s="468"/>
      <c r="E18" s="474"/>
      <c r="F18" s="482"/>
      <c r="G18" s="62"/>
    </row>
    <row r="19" spans="1:7">
      <c r="A19" s="63" t="s">
        <v>1650</v>
      </c>
      <c r="B19" s="72" t="s">
        <v>779</v>
      </c>
      <c r="C19" s="473" t="s">
        <v>9</v>
      </c>
      <c r="D19" s="468">
        <f>60*2*0.2</f>
        <v>24</v>
      </c>
      <c r="E19" s="474"/>
      <c r="F19" s="482"/>
      <c r="G19" s="62"/>
    </row>
    <row r="20" spans="1:7">
      <c r="A20" s="259"/>
      <c r="B20" s="432"/>
      <c r="C20" s="474"/>
      <c r="D20" s="475"/>
      <c r="E20" s="474"/>
      <c r="F20" s="485"/>
      <c r="G20" s="62"/>
    </row>
    <row r="21" spans="1:7">
      <c r="A21" s="63"/>
      <c r="B21" s="71" t="s">
        <v>821</v>
      </c>
      <c r="C21" s="473"/>
      <c r="D21" s="468"/>
      <c r="E21" s="474"/>
      <c r="F21" s="482"/>
      <c r="G21" s="62"/>
    </row>
    <row r="22" spans="1:7">
      <c r="A22" s="259"/>
      <c r="B22" s="438" t="s">
        <v>792</v>
      </c>
      <c r="C22" s="474"/>
      <c r="D22" s="475"/>
      <c r="E22" s="474"/>
      <c r="F22" s="485"/>
      <c r="G22" s="62"/>
    </row>
    <row r="23" spans="1:7" ht="28.8">
      <c r="A23" s="73" t="s">
        <v>1651</v>
      </c>
      <c r="B23" s="72" t="s">
        <v>791</v>
      </c>
      <c r="C23" s="473" t="s">
        <v>282</v>
      </c>
      <c r="D23" s="468">
        <f>CEILING(60*3.8*0.2,1)</f>
        <v>46</v>
      </c>
      <c r="E23" s="474"/>
      <c r="F23" s="482"/>
      <c r="G23" s="62"/>
    </row>
    <row r="24" spans="1:7">
      <c r="A24" s="63"/>
      <c r="B24" s="71" t="s">
        <v>780</v>
      </c>
      <c r="C24" s="473"/>
      <c r="D24" s="468"/>
      <c r="E24" s="472"/>
      <c r="F24" s="482"/>
      <c r="G24" s="62"/>
    </row>
    <row r="25" spans="1:7">
      <c r="A25" s="63" t="s">
        <v>1652</v>
      </c>
      <c r="B25" s="72" t="s">
        <v>790</v>
      </c>
      <c r="C25" s="473" t="s">
        <v>8</v>
      </c>
      <c r="D25" s="468">
        <f>CEILING(60*3.8*2,1)</f>
        <v>456</v>
      </c>
      <c r="E25" s="474"/>
      <c r="F25" s="482"/>
      <c r="G25" s="62"/>
    </row>
    <row r="26" spans="1:7">
      <c r="A26" s="259"/>
      <c r="B26" s="439" t="s">
        <v>793</v>
      </c>
      <c r="C26" s="474"/>
      <c r="D26" s="475"/>
      <c r="E26" s="474"/>
      <c r="F26" s="482"/>
      <c r="G26" s="62"/>
    </row>
    <row r="27" spans="1:7">
      <c r="A27" s="259" t="s">
        <v>1653</v>
      </c>
      <c r="B27" s="432" t="s">
        <v>794</v>
      </c>
      <c r="C27" s="474" t="s">
        <v>287</v>
      </c>
      <c r="D27" s="475">
        <v>1580</v>
      </c>
      <c r="E27" s="474"/>
      <c r="F27" s="482"/>
      <c r="G27" s="62"/>
    </row>
    <row r="28" spans="1:7" s="446" customFormat="1">
      <c r="A28" s="440"/>
      <c r="B28" s="441" t="s">
        <v>795</v>
      </c>
      <c r="C28" s="442"/>
      <c r="D28" s="443"/>
      <c r="E28" s="444"/>
      <c r="F28" s="445"/>
    </row>
    <row r="29" spans="1:7" s="32" customFormat="1" ht="28.8">
      <c r="A29" s="259" t="s">
        <v>1654</v>
      </c>
      <c r="B29" s="452" t="s">
        <v>798</v>
      </c>
      <c r="C29" s="449" t="s">
        <v>8</v>
      </c>
      <c r="D29" s="450">
        <v>60</v>
      </c>
      <c r="E29" s="451"/>
      <c r="F29" s="486"/>
    </row>
    <row r="30" spans="1:7" s="32" customFormat="1" ht="28.8">
      <c r="A30" s="259" t="s">
        <v>1655</v>
      </c>
      <c r="B30" s="452" t="s">
        <v>799</v>
      </c>
      <c r="C30" s="449" t="s">
        <v>9</v>
      </c>
      <c r="D30" s="450">
        <v>60</v>
      </c>
      <c r="E30" s="451"/>
      <c r="F30" s="486"/>
    </row>
    <row r="31" spans="1:7" s="32" customFormat="1" ht="28.8">
      <c r="A31" s="259" t="s">
        <v>1656</v>
      </c>
      <c r="B31" s="452" t="s">
        <v>800</v>
      </c>
      <c r="C31" s="449" t="s">
        <v>9</v>
      </c>
      <c r="D31" s="450">
        <v>60</v>
      </c>
      <c r="E31" s="451"/>
      <c r="F31" s="486"/>
    </row>
    <row r="32" spans="1:7" s="32" customFormat="1" ht="43.2">
      <c r="A32" s="259" t="s">
        <v>1657</v>
      </c>
      <c r="B32" s="452" t="s">
        <v>801</v>
      </c>
      <c r="C32" s="449" t="s">
        <v>282</v>
      </c>
      <c r="D32" s="450">
        <v>290</v>
      </c>
      <c r="E32" s="451"/>
      <c r="F32" s="486"/>
    </row>
    <row r="33" spans="1:15" s="32" customFormat="1">
      <c r="A33" s="463"/>
      <c r="B33" s="452"/>
      <c r="C33" s="449"/>
      <c r="D33" s="450"/>
      <c r="E33" s="451"/>
      <c r="F33" s="486"/>
    </row>
    <row r="34" spans="1:15" s="150" customFormat="1">
      <c r="A34" s="447"/>
      <c r="B34" s="448" t="s">
        <v>413</v>
      </c>
      <c r="C34" s="453"/>
      <c r="D34" s="454"/>
      <c r="E34" s="455"/>
      <c r="F34" s="487"/>
    </row>
    <row r="35" spans="1:15">
      <c r="A35" s="58" t="s">
        <v>329</v>
      </c>
      <c r="B35" s="58" t="s">
        <v>473</v>
      </c>
      <c r="C35" s="58" t="s">
        <v>328</v>
      </c>
      <c r="D35" s="59" t="s">
        <v>470</v>
      </c>
      <c r="E35" s="60"/>
      <c r="F35" s="481"/>
    </row>
    <row r="36" spans="1:15" s="150" customFormat="1">
      <c r="A36" s="447"/>
      <c r="B36" s="448" t="s">
        <v>410</v>
      </c>
      <c r="C36" s="453"/>
      <c r="D36" s="454"/>
      <c r="E36" s="455"/>
      <c r="F36" s="487"/>
    </row>
    <row r="37" spans="1:15" s="150" customFormat="1">
      <c r="A37" s="1156"/>
      <c r="B37" s="1157"/>
      <c r="C37" s="1158"/>
      <c r="D37" s="1159"/>
      <c r="E37" s="1160"/>
      <c r="F37" s="1161"/>
    </row>
    <row r="38" spans="1:15" s="150" customFormat="1">
      <c r="A38" s="447">
        <v>13.2</v>
      </c>
      <c r="B38" s="448" t="s">
        <v>802</v>
      </c>
      <c r="C38" s="1158"/>
      <c r="D38" s="1159"/>
      <c r="E38" s="1160"/>
      <c r="F38" s="1161"/>
    </row>
    <row r="39" spans="1:15" s="460" customFormat="1" ht="100.8">
      <c r="A39" s="456" t="s">
        <v>1658</v>
      </c>
      <c r="B39" s="457" t="s">
        <v>803</v>
      </c>
      <c r="C39" s="456" t="s">
        <v>10</v>
      </c>
      <c r="D39" s="456">
        <v>39</v>
      </c>
      <c r="E39" s="458"/>
      <c r="F39" s="488"/>
      <c r="G39" s="459"/>
      <c r="H39" s="459"/>
      <c r="I39" s="459"/>
      <c r="J39" s="459"/>
      <c r="K39" s="459"/>
      <c r="L39" s="459"/>
      <c r="M39" s="459"/>
      <c r="N39" s="459"/>
      <c r="O39" s="459"/>
    </row>
    <row r="40" spans="1:15" s="460" customFormat="1" ht="57.6">
      <c r="A40" s="456" t="s">
        <v>1659</v>
      </c>
      <c r="B40" s="457" t="s">
        <v>804</v>
      </c>
      <c r="C40" s="456" t="s">
        <v>719</v>
      </c>
      <c r="D40" s="461">
        <f>D31</f>
        <v>60</v>
      </c>
      <c r="E40" s="458"/>
      <c r="F40" s="488"/>
      <c r="G40" s="459"/>
      <c r="H40" s="459"/>
      <c r="I40" s="459"/>
      <c r="J40" s="459"/>
      <c r="K40" s="459"/>
      <c r="L40" s="459"/>
      <c r="M40" s="459"/>
      <c r="N40" s="459"/>
      <c r="O40" s="459"/>
    </row>
    <row r="41" spans="1:15" s="460" customFormat="1" ht="43.2">
      <c r="A41" s="456" t="s">
        <v>1660</v>
      </c>
      <c r="B41" s="457" t="s">
        <v>805</v>
      </c>
      <c r="C41" s="456" t="s">
        <v>719</v>
      </c>
      <c r="D41" s="461">
        <f>D40</f>
        <v>60</v>
      </c>
      <c r="E41" s="458"/>
      <c r="F41" s="488"/>
      <c r="G41" s="462"/>
      <c r="H41" s="462"/>
      <c r="I41" s="462"/>
      <c r="J41" s="459"/>
      <c r="K41" s="459"/>
      <c r="L41" s="459"/>
      <c r="M41" s="459"/>
      <c r="N41" s="459"/>
      <c r="O41" s="459"/>
    </row>
    <row r="42" spans="1:15">
      <c r="A42" s="63"/>
      <c r="B42" s="71" t="s">
        <v>781</v>
      </c>
      <c r="C42" s="473"/>
      <c r="D42" s="468"/>
      <c r="E42" s="474"/>
      <c r="F42" s="482"/>
      <c r="G42" s="62"/>
    </row>
    <row r="43" spans="1:15" ht="15.6" customHeight="1">
      <c r="A43" s="63" t="s">
        <v>1661</v>
      </c>
      <c r="B43" s="72" t="s">
        <v>496</v>
      </c>
      <c r="C43" s="473" t="s">
        <v>8</v>
      </c>
      <c r="D43" s="468">
        <f>CEILING(60*3,1)</f>
        <v>180</v>
      </c>
      <c r="E43" s="474"/>
      <c r="F43" s="482"/>
      <c r="G43" s="62"/>
    </row>
    <row r="44" spans="1:15">
      <c r="A44" s="259"/>
      <c r="B44" s="432"/>
      <c r="C44" s="474"/>
      <c r="D44" s="475"/>
      <c r="E44" s="474"/>
      <c r="F44" s="485"/>
      <c r="G44" s="62"/>
    </row>
    <row r="45" spans="1:15">
      <c r="A45" s="63"/>
      <c r="B45" s="71" t="s">
        <v>495</v>
      </c>
      <c r="C45" s="473"/>
      <c r="D45" s="468"/>
      <c r="E45" s="474"/>
      <c r="F45" s="482"/>
      <c r="G45" s="62"/>
    </row>
    <row r="46" spans="1:15" ht="28.8">
      <c r="A46" s="63" t="s">
        <v>1662</v>
      </c>
      <c r="B46" s="72" t="s">
        <v>497</v>
      </c>
      <c r="C46" s="473" t="s">
        <v>8</v>
      </c>
      <c r="D46" s="468">
        <f>CEILING(171.7*3.5,1)</f>
        <v>601</v>
      </c>
      <c r="E46" s="474"/>
      <c r="F46" s="482"/>
      <c r="G46" s="62"/>
    </row>
    <row r="47" spans="1:15" ht="18" customHeight="1">
      <c r="A47" s="63" t="s">
        <v>1663</v>
      </c>
      <c r="B47" s="72" t="s">
        <v>496</v>
      </c>
      <c r="C47" s="473" t="s">
        <v>8</v>
      </c>
      <c r="D47" s="468">
        <f>D46</f>
        <v>601</v>
      </c>
      <c r="E47" s="474"/>
      <c r="F47" s="482"/>
      <c r="G47" s="62"/>
    </row>
    <row r="48" spans="1:15" s="460" customFormat="1">
      <c r="A48" s="456"/>
      <c r="B48" s="457"/>
      <c r="C48" s="456"/>
      <c r="D48" s="461"/>
      <c r="E48" s="458"/>
      <c r="F48" s="488"/>
      <c r="G48" s="462"/>
      <c r="H48" s="462"/>
      <c r="I48" s="462"/>
      <c r="J48" s="459"/>
      <c r="K48" s="459"/>
      <c r="L48" s="459"/>
      <c r="M48" s="459"/>
      <c r="N48" s="459"/>
      <c r="O48" s="459"/>
    </row>
    <row r="49" spans="1:6" s="347" customFormat="1">
      <c r="A49" s="274">
        <v>13.5</v>
      </c>
      <c r="B49" s="349" t="s">
        <v>453</v>
      </c>
      <c r="C49" s="348"/>
      <c r="D49" s="264"/>
      <c r="E49" s="280"/>
      <c r="F49" s="488"/>
    </row>
    <row r="50" spans="1:6" s="347" customFormat="1" ht="72">
      <c r="A50" s="274" t="s">
        <v>1664</v>
      </c>
      <c r="B50" s="457" t="s">
        <v>808</v>
      </c>
      <c r="C50" s="348" t="s">
        <v>304</v>
      </c>
      <c r="D50" s="476">
        <v>1</v>
      </c>
      <c r="E50" s="280"/>
      <c r="F50" s="488"/>
    </row>
    <row r="51" spans="1:6" s="347" customFormat="1">
      <c r="A51" s="274"/>
      <c r="B51" s="464"/>
      <c r="C51" s="348"/>
      <c r="D51" s="476"/>
      <c r="E51" s="280"/>
      <c r="F51" s="489"/>
    </row>
    <row r="52" spans="1:6" s="354" customFormat="1">
      <c r="A52" s="350">
        <v>13.6</v>
      </c>
      <c r="B52" s="351" t="s">
        <v>834</v>
      </c>
      <c r="C52" s="352"/>
      <c r="D52" s="353"/>
      <c r="E52" s="477"/>
      <c r="F52" s="490"/>
    </row>
    <row r="53" spans="1:6" s="354" customFormat="1">
      <c r="A53" s="350"/>
      <c r="B53" s="346" t="s">
        <v>454</v>
      </c>
      <c r="C53" s="355"/>
      <c r="D53" s="353"/>
      <c r="E53" s="477"/>
      <c r="F53" s="490"/>
    </row>
    <row r="54" spans="1:6" s="354" customFormat="1">
      <c r="A54" s="274" t="s">
        <v>1665</v>
      </c>
      <c r="B54" s="356" t="s">
        <v>809</v>
      </c>
      <c r="C54" s="355"/>
      <c r="D54" s="350"/>
      <c r="E54" s="350"/>
      <c r="F54" s="491"/>
    </row>
    <row r="55" spans="1:6" s="354" customFormat="1">
      <c r="A55" s="274"/>
      <c r="B55" s="356" t="s">
        <v>455</v>
      </c>
      <c r="C55" s="355"/>
      <c r="D55" s="350"/>
      <c r="E55" s="350"/>
      <c r="F55" s="491"/>
    </row>
    <row r="56" spans="1:6" s="354" customFormat="1">
      <c r="A56" s="274"/>
      <c r="B56" s="356" t="s">
        <v>456</v>
      </c>
      <c r="C56" s="355" t="s">
        <v>9</v>
      </c>
      <c r="D56" s="350">
        <v>7</v>
      </c>
      <c r="E56" s="350"/>
      <c r="F56" s="491"/>
    </row>
    <row r="57" spans="1:6" s="354" customFormat="1">
      <c r="A57" s="274" t="s">
        <v>1666</v>
      </c>
      <c r="B57" s="357" t="s">
        <v>457</v>
      </c>
      <c r="C57" s="355"/>
      <c r="D57" s="353"/>
      <c r="E57" s="350"/>
      <c r="F57" s="491"/>
    </row>
    <row r="58" spans="1:6" s="354" customFormat="1">
      <c r="A58" s="274"/>
      <c r="B58" s="357" t="s">
        <v>458</v>
      </c>
      <c r="C58" s="355" t="s">
        <v>9</v>
      </c>
      <c r="D58" s="353">
        <f>1.8*4*2</f>
        <v>14.4</v>
      </c>
      <c r="E58" s="350"/>
      <c r="F58" s="491"/>
    </row>
    <row r="59" spans="1:6" s="354" customFormat="1">
      <c r="A59" s="274" t="s">
        <v>1667</v>
      </c>
      <c r="B59" s="357" t="s">
        <v>459</v>
      </c>
      <c r="C59" s="355"/>
      <c r="D59" s="358"/>
      <c r="E59" s="350"/>
      <c r="F59" s="491"/>
    </row>
    <row r="60" spans="1:6" s="354" customFormat="1">
      <c r="A60" s="274"/>
      <c r="B60" s="357" t="s">
        <v>460</v>
      </c>
      <c r="C60" s="355" t="s">
        <v>8</v>
      </c>
      <c r="D60" s="358">
        <v>2.5</v>
      </c>
      <c r="E60" s="350"/>
      <c r="F60" s="491"/>
    </row>
    <row r="61" spans="1:6" s="354" customFormat="1">
      <c r="A61" s="274"/>
      <c r="B61" s="346" t="s">
        <v>461</v>
      </c>
      <c r="C61" s="355"/>
      <c r="D61" s="358"/>
      <c r="E61" s="350"/>
      <c r="F61" s="491"/>
    </row>
    <row r="62" spans="1:6" s="354" customFormat="1">
      <c r="A62" s="274" t="s">
        <v>1668</v>
      </c>
      <c r="B62" s="357" t="s">
        <v>462</v>
      </c>
      <c r="C62" s="355" t="s">
        <v>383</v>
      </c>
      <c r="D62" s="358">
        <f>0.7*0.7*0.7</f>
        <v>0.34299999999999992</v>
      </c>
      <c r="E62" s="350"/>
      <c r="F62" s="491"/>
    </row>
    <row r="63" spans="1:6" s="354" customFormat="1">
      <c r="A63" s="274"/>
      <c r="B63" s="346" t="s">
        <v>0</v>
      </c>
      <c r="C63" s="355"/>
      <c r="D63" s="358"/>
      <c r="E63" s="350"/>
      <c r="F63" s="491"/>
    </row>
    <row r="64" spans="1:6" s="354" customFormat="1">
      <c r="A64" s="274" t="s">
        <v>1669</v>
      </c>
      <c r="B64" s="359" t="s">
        <v>463</v>
      </c>
      <c r="C64" s="355"/>
      <c r="D64" s="353"/>
      <c r="E64" s="350"/>
      <c r="F64" s="491"/>
    </row>
    <row r="65" spans="1:6" s="354" customFormat="1">
      <c r="A65" s="274"/>
      <c r="B65" s="359" t="s">
        <v>687</v>
      </c>
      <c r="C65" s="355"/>
      <c r="D65" s="353"/>
      <c r="E65" s="350"/>
      <c r="F65" s="491"/>
    </row>
    <row r="66" spans="1:6" s="354" customFormat="1">
      <c r="A66" s="350"/>
      <c r="B66" s="359" t="s">
        <v>464</v>
      </c>
      <c r="C66" s="355" t="s">
        <v>305</v>
      </c>
      <c r="D66" s="353">
        <v>1</v>
      </c>
      <c r="E66" s="350"/>
      <c r="F66" s="491"/>
    </row>
    <row r="67" spans="1:6" s="354" customFormat="1">
      <c r="A67" s="350"/>
      <c r="B67" s="360"/>
      <c r="C67" s="263"/>
      <c r="D67" s="478"/>
      <c r="E67" s="348"/>
      <c r="F67" s="492"/>
    </row>
    <row r="68" spans="1:6" s="354" customFormat="1">
      <c r="A68" s="350"/>
      <c r="B68" s="346" t="s">
        <v>837</v>
      </c>
      <c r="C68" s="263"/>
      <c r="D68" s="478"/>
      <c r="E68" s="348"/>
      <c r="F68" s="492"/>
    </row>
  </sheetData>
  <customSheetViews>
    <customSheetView guid="{58A41188-4CB9-4607-A927-9B98665919B2}" scale="112" showPageBreaks="1" printArea="1" view="pageBreakPreview" topLeftCell="A32">
      <selection activeCell="D9" sqref="D9"/>
      <rowBreaks count="1" manualBreakCount="1">
        <brk id="17" max="16383" man="1"/>
      </rowBreaks>
      <pageMargins left="0.7" right="0.7" top="0.75" bottom="0.75" header="0.3" footer="0.3"/>
      <pageSetup orientation="portrait" r:id="rId1"/>
    </customSheetView>
    <customSheetView guid="{1E933494-4ABB-4290-95BF-88ADDB331983}" scale="112" showPageBreaks="1" printArea="1" view="pageBreakPreview" topLeftCell="A19">
      <selection activeCell="D32" sqref="D32"/>
      <pageMargins left="0.7" right="0.7" top="0.75" bottom="0.75" header="0.3" footer="0.3"/>
      <pageSetup scale="99" orientation="portrait" r:id="rId2"/>
    </customSheetView>
  </customSheetViews>
  <pageMargins left="0.7" right="0.7" top="0.75" bottom="0.75" header="0.3" footer="0.3"/>
  <pageSetup scale="96" orientation="portrait" r:id="rId3"/>
  <rowBreaks count="1" manualBreakCount="1">
    <brk id="34"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view="pageBreakPreview" zoomScale="122" zoomScaleNormal="100" zoomScaleSheetLayoutView="122" workbookViewId="0">
      <pane xSplit="1" ySplit="2" topLeftCell="B3" activePane="bottomRight" state="frozen"/>
      <selection pane="topRight" activeCell="B1" sqref="B1"/>
      <selection pane="bottomLeft" activeCell="A3" sqref="A3"/>
      <selection pane="bottomRight" activeCell="E1" sqref="E1"/>
    </sheetView>
  </sheetViews>
  <sheetFormatPr defaultColWidth="8.88671875" defaultRowHeight="13.2"/>
  <cols>
    <col min="1" max="1" width="6.44140625" style="344" customWidth="1"/>
    <col min="2" max="2" width="45.33203125" style="345" customWidth="1"/>
    <col min="3" max="3" width="5.33203125" style="344" bestFit="1" customWidth="1"/>
    <col min="4" max="4" width="7.33203125" style="344" bestFit="1" customWidth="1"/>
    <col min="5" max="5" width="9.33203125" style="344" bestFit="1" customWidth="1"/>
    <col min="6" max="6" width="11.109375" style="344" bestFit="1" customWidth="1"/>
    <col min="7" max="16384" width="8.88671875" style="344"/>
  </cols>
  <sheetData>
    <row r="1" spans="1:6" s="279" customFormat="1" ht="14.4">
      <c r="A1" s="275" t="s">
        <v>260</v>
      </c>
      <c r="B1" s="276" t="s">
        <v>13</v>
      </c>
      <c r="C1" s="275" t="s">
        <v>330</v>
      </c>
      <c r="D1" s="277" t="s">
        <v>673</v>
      </c>
      <c r="E1" s="278" t="s">
        <v>675</v>
      </c>
      <c r="F1" s="278"/>
    </row>
    <row r="2" spans="1:6" s="281" customFormat="1" ht="14.4">
      <c r="A2" s="232"/>
      <c r="B2" s="233" t="str">
        <f>'1 Preliminaries '!B2</f>
        <v>PROPOSED MALE TRANSITION CENTER - BAIDOA</v>
      </c>
      <c r="C2" s="263"/>
      <c r="D2" s="280"/>
      <c r="E2" s="234"/>
      <c r="F2" s="234"/>
    </row>
    <row r="3" spans="1:6" s="281" customFormat="1" ht="14.4">
      <c r="A3" s="232"/>
      <c r="B3" s="265"/>
      <c r="C3" s="263"/>
      <c r="D3" s="280"/>
      <c r="E3" s="234"/>
      <c r="F3" s="234"/>
    </row>
    <row r="4" spans="1:6" s="281" customFormat="1" ht="14.4">
      <c r="A4" s="266">
        <v>14</v>
      </c>
      <c r="B4" s="233" t="s">
        <v>1670</v>
      </c>
      <c r="C4" s="267"/>
      <c r="D4" s="267"/>
      <c r="E4" s="267"/>
      <c r="F4" s="269"/>
    </row>
    <row r="5" spans="1:6" s="279" customFormat="1" ht="15.6">
      <c r="A5" s="232"/>
      <c r="B5" s="265" t="s">
        <v>353</v>
      </c>
      <c r="C5" s="282"/>
      <c r="D5" s="286"/>
      <c r="E5" s="286"/>
      <c r="F5" s="286"/>
    </row>
    <row r="6" spans="1:6" s="279" customFormat="1" ht="15.6">
      <c r="A6" s="232"/>
      <c r="B6" s="293"/>
      <c r="C6" s="282"/>
      <c r="D6" s="286"/>
      <c r="E6" s="286"/>
      <c r="F6" s="286"/>
    </row>
    <row r="7" spans="1:6" s="279" customFormat="1" ht="21" customHeight="1">
      <c r="A7" s="232">
        <v>14.1</v>
      </c>
      <c r="B7" s="285" t="s">
        <v>354</v>
      </c>
      <c r="C7" s="282"/>
      <c r="D7" s="286"/>
      <c r="E7" s="286"/>
      <c r="F7" s="286"/>
    </row>
    <row r="8" spans="1:6" s="279" customFormat="1" ht="15.6">
      <c r="A8" s="232"/>
      <c r="B8" s="285" t="s">
        <v>326</v>
      </c>
      <c r="C8" s="282" t="s">
        <v>282</v>
      </c>
      <c r="D8" s="286">
        <f>2*2*1.5</f>
        <v>6</v>
      </c>
      <c r="E8" s="286"/>
      <c r="F8" s="286"/>
    </row>
    <row r="9" spans="1:6" s="279" customFormat="1" ht="15.6">
      <c r="A9" s="232"/>
      <c r="B9" s="294" t="s">
        <v>355</v>
      </c>
      <c r="C9" s="282"/>
      <c r="D9" s="286"/>
      <c r="E9" s="286"/>
      <c r="F9" s="286"/>
    </row>
    <row r="10" spans="1:6" s="279" customFormat="1" ht="15.6">
      <c r="A10" s="232">
        <v>14.2</v>
      </c>
      <c r="B10" s="285" t="s">
        <v>356</v>
      </c>
      <c r="C10" s="282" t="s">
        <v>282</v>
      </c>
      <c r="D10" s="286">
        <f>2</f>
        <v>2</v>
      </c>
      <c r="E10" s="286"/>
      <c r="F10" s="286"/>
    </row>
    <row r="11" spans="1:6" s="279" customFormat="1" ht="31.2">
      <c r="A11" s="232">
        <v>14.3</v>
      </c>
      <c r="B11" s="295" t="s">
        <v>357</v>
      </c>
      <c r="C11" s="282" t="s">
        <v>282</v>
      </c>
      <c r="D11" s="286">
        <v>3</v>
      </c>
      <c r="E11" s="286"/>
      <c r="F11" s="286"/>
    </row>
    <row r="12" spans="1:6" s="291" customFormat="1" ht="15.6">
      <c r="A12" s="287"/>
      <c r="B12" s="288" t="s">
        <v>677</v>
      </c>
      <c r="C12" s="289"/>
      <c r="D12" s="290"/>
      <c r="E12" s="290"/>
      <c r="F12" s="290"/>
    </row>
    <row r="13" spans="1:6" s="279" customFormat="1" ht="15.6">
      <c r="A13" s="232"/>
      <c r="B13" s="292"/>
      <c r="C13" s="282"/>
      <c r="D13" s="286"/>
      <c r="E13" s="286"/>
      <c r="F13" s="286"/>
    </row>
    <row r="14" spans="1:6" s="279" customFormat="1" ht="15.6">
      <c r="A14" s="232"/>
      <c r="B14" s="265" t="s">
        <v>1671</v>
      </c>
      <c r="C14" s="282"/>
      <c r="D14" s="286"/>
      <c r="E14" s="286"/>
      <c r="F14" s="286"/>
    </row>
    <row r="15" spans="1:6" s="279" customFormat="1" ht="15.6">
      <c r="A15" s="232"/>
      <c r="B15" s="265" t="s">
        <v>298</v>
      </c>
      <c r="C15" s="282"/>
      <c r="D15" s="286"/>
      <c r="E15" s="286"/>
      <c r="F15" s="286"/>
    </row>
    <row r="16" spans="1:6" s="279" customFormat="1" ht="28.8">
      <c r="A16" s="232"/>
      <c r="B16" s="296" t="s">
        <v>358</v>
      </c>
      <c r="C16" s="282"/>
      <c r="D16" s="286"/>
      <c r="E16" s="286"/>
      <c r="F16" s="286"/>
    </row>
    <row r="17" spans="1:6" s="279" customFormat="1" ht="28.8">
      <c r="A17" s="232">
        <v>14.4</v>
      </c>
      <c r="B17" s="297" t="s">
        <v>359</v>
      </c>
      <c r="C17" s="282"/>
      <c r="D17" s="286"/>
      <c r="E17" s="286"/>
      <c r="F17" s="286"/>
    </row>
    <row r="18" spans="1:6" s="279" customFormat="1" ht="28.8">
      <c r="A18" s="232"/>
      <c r="B18" s="297" t="s">
        <v>360</v>
      </c>
      <c r="C18" s="282" t="s">
        <v>282</v>
      </c>
      <c r="D18" s="286">
        <v>1</v>
      </c>
      <c r="E18" s="286"/>
      <c r="F18" s="286"/>
    </row>
    <row r="19" spans="1:6" s="279" customFormat="1" ht="28.8">
      <c r="A19" s="232">
        <v>14.5</v>
      </c>
      <c r="B19" s="297" t="s">
        <v>361</v>
      </c>
      <c r="C19" s="282"/>
      <c r="D19" s="286"/>
      <c r="E19" s="286"/>
      <c r="F19" s="286"/>
    </row>
    <row r="20" spans="1:6" s="279" customFormat="1" ht="28.8">
      <c r="A20" s="232"/>
      <c r="B20" s="297" t="s">
        <v>362</v>
      </c>
      <c r="C20" s="282" t="s">
        <v>282</v>
      </c>
      <c r="D20" s="286">
        <v>2</v>
      </c>
      <c r="E20" s="286"/>
      <c r="F20" s="286"/>
    </row>
    <row r="21" spans="1:6" s="279" customFormat="1" ht="28.8">
      <c r="A21" s="232">
        <v>14.6</v>
      </c>
      <c r="B21" s="297" t="s">
        <v>363</v>
      </c>
      <c r="C21" s="282"/>
      <c r="D21" s="286"/>
      <c r="E21" s="286"/>
      <c r="F21" s="286"/>
    </row>
    <row r="22" spans="1:6" s="279" customFormat="1" ht="15.6">
      <c r="A22" s="232"/>
      <c r="B22" s="297" t="s">
        <v>364</v>
      </c>
      <c r="C22" s="282" t="s">
        <v>282</v>
      </c>
      <c r="D22" s="286">
        <v>2</v>
      </c>
      <c r="E22" s="286"/>
      <c r="F22" s="286"/>
    </row>
    <row r="23" spans="1:6" s="279" customFormat="1" ht="28.8">
      <c r="A23" s="232">
        <v>14.7</v>
      </c>
      <c r="B23" s="297" t="s">
        <v>365</v>
      </c>
      <c r="C23" s="282"/>
      <c r="D23" s="286"/>
      <c r="E23" s="286"/>
      <c r="F23" s="286"/>
    </row>
    <row r="24" spans="1:6" s="279" customFormat="1" ht="15.6">
      <c r="A24" s="232"/>
      <c r="B24" s="297" t="s">
        <v>366</v>
      </c>
      <c r="C24" s="282" t="s">
        <v>282</v>
      </c>
      <c r="D24" s="286">
        <v>1</v>
      </c>
      <c r="E24" s="286"/>
      <c r="F24" s="286"/>
    </row>
    <row r="25" spans="1:6" s="279" customFormat="1" ht="15.6">
      <c r="A25" s="744"/>
      <c r="B25" s="745"/>
      <c r="C25" s="746"/>
      <c r="D25" s="747"/>
      <c r="E25" s="747"/>
      <c r="F25" s="747"/>
    </row>
    <row r="26" spans="1:6" s="279" customFormat="1" ht="15.6">
      <c r="A26" s="232"/>
      <c r="B26" s="298" t="s">
        <v>367</v>
      </c>
      <c r="C26" s="282"/>
      <c r="D26" s="286"/>
      <c r="E26" s="286"/>
      <c r="F26" s="286"/>
    </row>
    <row r="27" spans="1:6" s="279" customFormat="1" ht="43.2">
      <c r="A27" s="232"/>
      <c r="B27" s="299" t="s">
        <v>939</v>
      </c>
      <c r="C27" s="282"/>
      <c r="D27" s="286"/>
      <c r="E27" s="286"/>
      <c r="F27" s="286"/>
    </row>
    <row r="28" spans="1:6" s="279" customFormat="1" ht="15.6">
      <c r="A28" s="232">
        <v>14.8</v>
      </c>
      <c r="B28" s="301" t="s">
        <v>368</v>
      </c>
      <c r="C28" s="282" t="s">
        <v>287</v>
      </c>
      <c r="D28" s="286">
        <f>200</f>
        <v>200</v>
      </c>
      <c r="E28" s="286"/>
      <c r="F28" s="286"/>
    </row>
    <row r="29" spans="1:6" s="279" customFormat="1" ht="15.6">
      <c r="A29" s="232"/>
      <c r="B29" s="292"/>
      <c r="C29" s="287"/>
      <c r="D29" s="286"/>
      <c r="E29" s="286"/>
      <c r="F29" s="286"/>
    </row>
    <row r="30" spans="1:6" s="279" customFormat="1" ht="15.6">
      <c r="A30" s="232"/>
      <c r="B30" s="292" t="s">
        <v>369</v>
      </c>
      <c r="C30" s="287"/>
      <c r="D30" s="286"/>
      <c r="E30" s="286"/>
      <c r="F30" s="286"/>
    </row>
    <row r="31" spans="1:6" s="279" customFormat="1" ht="15.6">
      <c r="A31" s="232"/>
      <c r="B31" s="292" t="s">
        <v>370</v>
      </c>
      <c r="C31" s="287"/>
      <c r="D31" s="286"/>
      <c r="E31" s="286"/>
      <c r="F31" s="286"/>
    </row>
    <row r="32" spans="1:6" s="279" customFormat="1" ht="26.4">
      <c r="A32" s="302">
        <v>14.9</v>
      </c>
      <c r="B32" s="303" t="s">
        <v>371</v>
      </c>
      <c r="C32" s="232" t="s">
        <v>8</v>
      </c>
      <c r="D32" s="286">
        <f>4/2</f>
        <v>2</v>
      </c>
      <c r="E32" s="286"/>
      <c r="F32" s="286"/>
    </row>
    <row r="33" spans="1:11" s="279" customFormat="1" ht="35.25" customHeight="1">
      <c r="A33" s="302"/>
      <c r="B33" s="304" t="s">
        <v>372</v>
      </c>
      <c r="C33" s="282"/>
      <c r="D33" s="286"/>
      <c r="E33" s="286"/>
      <c r="F33" s="286"/>
    </row>
    <row r="34" spans="1:11" s="279" customFormat="1" ht="15.6">
      <c r="A34" s="302">
        <v>14.1</v>
      </c>
      <c r="B34" s="285" t="s">
        <v>373</v>
      </c>
      <c r="C34" s="282" t="s">
        <v>8</v>
      </c>
      <c r="D34" s="286">
        <f>32/2</f>
        <v>16</v>
      </c>
      <c r="E34" s="286"/>
      <c r="F34" s="286"/>
    </row>
    <row r="35" spans="1:11" s="279" customFormat="1" ht="15.6">
      <c r="A35" s="302">
        <v>14.11</v>
      </c>
      <c r="B35" s="285" t="s">
        <v>374</v>
      </c>
      <c r="C35" s="282" t="s">
        <v>8</v>
      </c>
      <c r="D35" s="286">
        <f>10/2</f>
        <v>5</v>
      </c>
      <c r="E35" s="286"/>
      <c r="F35" s="286"/>
    </row>
    <row r="36" spans="1:11" s="279" customFormat="1" ht="15.6">
      <c r="A36" s="302">
        <v>14.12</v>
      </c>
      <c r="B36" s="285" t="s">
        <v>375</v>
      </c>
      <c r="C36" s="282" t="s">
        <v>8</v>
      </c>
      <c r="D36" s="286">
        <f>5/2</f>
        <v>2.5</v>
      </c>
      <c r="E36" s="286"/>
      <c r="F36" s="286"/>
    </row>
    <row r="37" spans="1:11" s="279" customFormat="1" ht="15.6">
      <c r="A37" s="302">
        <v>14.13</v>
      </c>
      <c r="B37" s="305" t="s">
        <v>376</v>
      </c>
      <c r="C37" s="232" t="s">
        <v>8</v>
      </c>
      <c r="D37" s="286">
        <f>13/2</f>
        <v>6.5</v>
      </c>
      <c r="E37" s="286"/>
      <c r="F37" s="286"/>
    </row>
    <row r="38" spans="1:11" s="279" customFormat="1" ht="15.6">
      <c r="A38" s="302">
        <v>14.14</v>
      </c>
      <c r="B38" s="305" t="s">
        <v>377</v>
      </c>
      <c r="C38" s="232" t="s">
        <v>8</v>
      </c>
      <c r="D38" s="286">
        <f>80/2</f>
        <v>40</v>
      </c>
      <c r="E38" s="286"/>
      <c r="F38" s="286"/>
    </row>
    <row r="39" spans="1:11" s="291" customFormat="1" ht="15.6">
      <c r="A39" s="306"/>
      <c r="B39" s="288" t="s">
        <v>677</v>
      </c>
      <c r="C39" s="289"/>
      <c r="D39" s="289"/>
      <c r="E39" s="287"/>
      <c r="F39" s="290"/>
    </row>
    <row r="40" spans="1:11" s="279" customFormat="1" ht="20.399999999999999" customHeight="1">
      <c r="A40" s="306"/>
      <c r="B40" s="288"/>
      <c r="C40" s="289"/>
      <c r="D40" s="289"/>
      <c r="E40" s="287"/>
      <c r="F40" s="290"/>
    </row>
    <row r="41" spans="1:11" s="279" customFormat="1" ht="14.4">
      <c r="A41" s="275" t="s">
        <v>260</v>
      </c>
      <c r="B41" s="276" t="s">
        <v>13</v>
      </c>
      <c r="C41" s="275" t="s">
        <v>330</v>
      </c>
      <c r="D41" s="277" t="s">
        <v>673</v>
      </c>
      <c r="E41" s="278" t="s">
        <v>675</v>
      </c>
      <c r="F41" s="278"/>
    </row>
    <row r="42" spans="1:11" s="279" customFormat="1" ht="14.4">
      <c r="A42" s="302"/>
      <c r="B42" s="265" t="s">
        <v>378</v>
      </c>
      <c r="C42" s="282"/>
      <c r="D42" s="282"/>
      <c r="E42" s="232"/>
      <c r="F42" s="283"/>
    </row>
    <row r="43" spans="1:11" s="279" customFormat="1" ht="14.4">
      <c r="A43" s="302"/>
      <c r="B43" s="265"/>
      <c r="C43" s="282"/>
      <c r="D43" s="282"/>
      <c r="E43" s="232"/>
      <c r="F43" s="283"/>
    </row>
    <row r="44" spans="1:11" s="279" customFormat="1" ht="14.4">
      <c r="A44" s="302"/>
      <c r="B44" s="265" t="s">
        <v>288</v>
      </c>
      <c r="C44" s="282"/>
      <c r="D44" s="282"/>
      <c r="E44" s="232"/>
      <c r="F44" s="283"/>
    </row>
    <row r="45" spans="1:11" s="279" customFormat="1" ht="14.4">
      <c r="A45" s="302"/>
      <c r="B45" s="299" t="s">
        <v>379</v>
      </c>
      <c r="C45" s="282"/>
      <c r="D45" s="282"/>
      <c r="E45" s="232"/>
      <c r="F45" s="283"/>
    </row>
    <row r="46" spans="1:11" s="279" customFormat="1" ht="28.8">
      <c r="A46" s="302"/>
      <c r="B46" s="300" t="s">
        <v>380</v>
      </c>
      <c r="C46" s="282"/>
      <c r="D46" s="282"/>
      <c r="E46" s="232"/>
      <c r="F46" s="283"/>
    </row>
    <row r="47" spans="1:11" s="279" customFormat="1" ht="15.6">
      <c r="A47" s="302"/>
      <c r="B47" s="300" t="s">
        <v>293</v>
      </c>
      <c r="C47" s="282"/>
      <c r="D47" s="282"/>
      <c r="E47" s="232"/>
      <c r="F47" s="286"/>
    </row>
    <row r="48" spans="1:11" s="279" customFormat="1" ht="15.6">
      <c r="A48" s="302">
        <v>14.16</v>
      </c>
      <c r="B48" s="308" t="s">
        <v>381</v>
      </c>
      <c r="C48" s="282"/>
      <c r="D48" s="286"/>
      <c r="E48" s="286"/>
      <c r="F48" s="286"/>
      <c r="H48" s="307"/>
      <c r="I48" s="307"/>
      <c r="J48" s="307"/>
      <c r="K48" s="307"/>
    </row>
    <row r="49" spans="1:11" s="279" customFormat="1" ht="15.6">
      <c r="A49" s="302"/>
      <c r="B49" s="308" t="s">
        <v>382</v>
      </c>
      <c r="C49" s="282" t="s">
        <v>383</v>
      </c>
      <c r="D49" s="286">
        <v>1.68</v>
      </c>
      <c r="E49" s="286"/>
      <c r="F49" s="286"/>
      <c r="H49" s="307"/>
      <c r="I49" s="307"/>
      <c r="J49" s="307"/>
      <c r="K49" s="307"/>
    </row>
    <row r="50" spans="1:11" s="279" customFormat="1" ht="15.6">
      <c r="A50" s="302">
        <v>14.17</v>
      </c>
      <c r="B50" s="308">
        <v>7</v>
      </c>
      <c r="C50" s="282" t="s">
        <v>351</v>
      </c>
      <c r="D50" s="286">
        <v>150</v>
      </c>
      <c r="E50" s="286"/>
      <c r="F50" s="286"/>
      <c r="H50" s="307"/>
      <c r="I50" s="307"/>
      <c r="J50" s="307"/>
      <c r="K50" s="307"/>
    </row>
    <row r="51" spans="1:11" s="279" customFormat="1" ht="15.6">
      <c r="A51" s="302"/>
      <c r="B51" s="308"/>
      <c r="C51" s="282"/>
      <c r="D51" s="232"/>
      <c r="E51" s="232"/>
      <c r="F51" s="286"/>
      <c r="H51" s="307"/>
      <c r="I51" s="307"/>
      <c r="J51" s="307"/>
      <c r="K51" s="307"/>
    </row>
    <row r="52" spans="1:11" s="291" customFormat="1" ht="15.6">
      <c r="A52" s="306"/>
      <c r="B52" s="288" t="s">
        <v>677</v>
      </c>
      <c r="C52" s="289"/>
      <c r="D52" s="309"/>
      <c r="E52" s="287"/>
      <c r="F52" s="290"/>
      <c r="H52" s="310"/>
      <c r="I52" s="310"/>
      <c r="J52" s="310"/>
      <c r="K52" s="310"/>
    </row>
    <row r="53" spans="1:11" s="279" customFormat="1" ht="15.6">
      <c r="A53" s="302"/>
      <c r="B53" s="292"/>
      <c r="C53" s="282"/>
      <c r="D53" s="311"/>
      <c r="E53" s="232"/>
      <c r="F53" s="286"/>
      <c r="H53" s="307"/>
      <c r="I53" s="307"/>
      <c r="J53" s="307"/>
      <c r="K53" s="307"/>
    </row>
    <row r="54" spans="1:11" s="279" customFormat="1" ht="15.6">
      <c r="A54" s="302"/>
      <c r="B54" s="265" t="s">
        <v>384</v>
      </c>
      <c r="C54" s="282"/>
      <c r="D54" s="311"/>
      <c r="E54" s="232"/>
      <c r="F54" s="286"/>
    </row>
    <row r="55" spans="1:11" s="279" customFormat="1" ht="14.4">
      <c r="A55" s="302"/>
      <c r="B55" s="265" t="s">
        <v>0</v>
      </c>
      <c r="C55" s="282"/>
      <c r="D55" s="311"/>
      <c r="E55" s="232"/>
      <c r="F55" s="283"/>
    </row>
    <row r="56" spans="1:11" s="279" customFormat="1" ht="15.6">
      <c r="A56" s="312"/>
      <c r="B56" s="300" t="s">
        <v>385</v>
      </c>
      <c r="C56" s="313"/>
      <c r="D56" s="314"/>
      <c r="E56" s="314"/>
      <c r="F56" s="315"/>
    </row>
    <row r="57" spans="1:11" s="279" customFormat="1" ht="15.6">
      <c r="A57" s="312"/>
      <c r="B57" s="265" t="s">
        <v>386</v>
      </c>
      <c r="C57" s="313"/>
      <c r="D57" s="314"/>
      <c r="E57" s="314"/>
      <c r="F57" s="315"/>
    </row>
    <row r="58" spans="1:11" s="279" customFormat="1" ht="15.6">
      <c r="A58" s="312"/>
      <c r="B58" s="265" t="s">
        <v>387</v>
      </c>
      <c r="C58" s="313"/>
      <c r="D58" s="314"/>
      <c r="E58" s="314"/>
      <c r="F58" s="315"/>
    </row>
    <row r="59" spans="1:11" s="279" customFormat="1" ht="15.6">
      <c r="A59" s="312"/>
      <c r="B59" s="265" t="s">
        <v>388</v>
      </c>
      <c r="C59" s="313"/>
      <c r="D59" s="314"/>
      <c r="E59" s="314"/>
      <c r="F59" s="315"/>
    </row>
    <row r="60" spans="1:11" s="279" customFormat="1" ht="15.6">
      <c r="A60" s="312"/>
      <c r="B60" s="265" t="s">
        <v>389</v>
      </c>
      <c r="C60" s="313"/>
      <c r="D60" s="314"/>
      <c r="E60" s="314"/>
      <c r="F60" s="315"/>
    </row>
    <row r="61" spans="1:11" s="279" customFormat="1" ht="15.6">
      <c r="A61" s="312">
        <v>14.18</v>
      </c>
      <c r="B61" s="316" t="s">
        <v>390</v>
      </c>
      <c r="C61" s="313" t="s">
        <v>8</v>
      </c>
      <c r="D61" s="286">
        <v>20</v>
      </c>
      <c r="E61" s="286"/>
      <c r="F61" s="286"/>
    </row>
    <row r="62" spans="1:11" s="279" customFormat="1" ht="15.6">
      <c r="A62" s="312"/>
      <c r="B62" s="317" t="s">
        <v>391</v>
      </c>
      <c r="C62" s="313"/>
      <c r="D62" s="286"/>
      <c r="E62" s="286"/>
      <c r="F62" s="286"/>
    </row>
    <row r="63" spans="1:11" s="279" customFormat="1" ht="15.6">
      <c r="A63" s="312"/>
      <c r="B63" s="318" t="s">
        <v>392</v>
      </c>
      <c r="C63" s="313"/>
      <c r="D63" s="286"/>
      <c r="E63" s="286"/>
      <c r="F63" s="286"/>
    </row>
    <row r="64" spans="1:11" s="279" customFormat="1" ht="15.6">
      <c r="A64" s="312"/>
      <c r="B64" s="318" t="s">
        <v>393</v>
      </c>
      <c r="C64" s="313"/>
      <c r="D64" s="286"/>
      <c r="E64" s="286"/>
      <c r="F64" s="286"/>
    </row>
    <row r="65" spans="1:6" s="279" customFormat="1" ht="15.6">
      <c r="A65" s="312">
        <v>14.19</v>
      </c>
      <c r="B65" s="316" t="s">
        <v>394</v>
      </c>
      <c r="C65" s="313" t="str">
        <f>C61</f>
        <v>SM</v>
      </c>
      <c r="D65" s="286">
        <f>D61</f>
        <v>20</v>
      </c>
      <c r="E65" s="286"/>
      <c r="F65" s="286"/>
    </row>
    <row r="66" spans="1:6" s="279" customFormat="1" ht="15.6">
      <c r="A66" s="319"/>
      <c r="B66" s="320" t="s">
        <v>395</v>
      </c>
      <c r="C66" s="321"/>
      <c r="D66" s="286"/>
      <c r="E66" s="286"/>
      <c r="F66" s="286"/>
    </row>
    <row r="67" spans="1:6" s="279" customFormat="1" ht="15.6">
      <c r="A67" s="319"/>
      <c r="B67" s="320" t="s">
        <v>396</v>
      </c>
      <c r="C67" s="321"/>
      <c r="D67" s="286"/>
      <c r="E67" s="286"/>
      <c r="F67" s="286"/>
    </row>
    <row r="68" spans="1:6" s="279" customFormat="1" ht="15.6">
      <c r="A68" s="319"/>
      <c r="B68" s="322" t="s">
        <v>397</v>
      </c>
      <c r="C68" s="321"/>
      <c r="D68" s="286"/>
      <c r="E68" s="286"/>
      <c r="F68" s="286"/>
    </row>
    <row r="69" spans="1:6" s="279" customFormat="1" ht="15.6">
      <c r="A69" s="319">
        <v>14.2</v>
      </c>
      <c r="B69" s="295" t="s">
        <v>398</v>
      </c>
      <c r="C69" s="314" t="s">
        <v>8</v>
      </c>
      <c r="D69" s="286">
        <v>4</v>
      </c>
      <c r="E69" s="286"/>
      <c r="F69" s="286"/>
    </row>
    <row r="70" spans="1:6" s="279" customFormat="1" ht="18.600000000000001" customHeight="1">
      <c r="A70" s="319"/>
      <c r="B70" s="295" t="s">
        <v>399</v>
      </c>
      <c r="C70" s="321"/>
      <c r="D70" s="286"/>
      <c r="E70" s="286"/>
      <c r="F70" s="286"/>
    </row>
    <row r="71" spans="1:6" s="279" customFormat="1" ht="15.6">
      <c r="A71" s="319"/>
      <c r="B71" s="295" t="s">
        <v>400</v>
      </c>
      <c r="C71" s="321"/>
      <c r="D71" s="286"/>
      <c r="E71" s="286"/>
      <c r="F71" s="286"/>
    </row>
    <row r="72" spans="1:6" s="291" customFormat="1" ht="15.6">
      <c r="A72" s="306"/>
      <c r="B72" s="288" t="s">
        <v>677</v>
      </c>
      <c r="C72" s="289"/>
      <c r="D72" s="290"/>
      <c r="E72" s="290"/>
      <c r="F72" s="290"/>
    </row>
    <row r="73" spans="1:6" s="279" customFormat="1" ht="14.4">
      <c r="A73" s="302"/>
      <c r="B73" s="265" t="s">
        <v>401</v>
      </c>
      <c r="C73" s="282"/>
      <c r="D73" s="282"/>
      <c r="E73" s="232"/>
      <c r="F73" s="283"/>
    </row>
    <row r="74" spans="1:6" s="279" customFormat="1" ht="14.4">
      <c r="A74" s="302"/>
      <c r="B74" s="265" t="s">
        <v>402</v>
      </c>
      <c r="C74" s="282"/>
      <c r="D74" s="282"/>
      <c r="E74" s="232"/>
      <c r="F74" s="283"/>
    </row>
    <row r="75" spans="1:6" s="279" customFormat="1" ht="31.2">
      <c r="A75" s="302">
        <v>14.21</v>
      </c>
      <c r="B75" s="295" t="s">
        <v>403</v>
      </c>
      <c r="C75" s="282"/>
      <c r="D75" s="282"/>
      <c r="E75" s="232"/>
      <c r="F75" s="283"/>
    </row>
    <row r="76" spans="1:6" s="279" customFormat="1" ht="15.6">
      <c r="A76" s="302"/>
      <c r="B76" s="295" t="s">
        <v>404</v>
      </c>
      <c r="C76" s="282" t="s">
        <v>305</v>
      </c>
      <c r="D76" s="286">
        <v>1</v>
      </c>
      <c r="E76" s="286"/>
      <c r="F76" s="286"/>
    </row>
    <row r="77" spans="1:6" s="279" customFormat="1" ht="15.6">
      <c r="A77" s="302"/>
      <c r="B77" s="295" t="s">
        <v>405</v>
      </c>
      <c r="C77" s="282"/>
      <c r="D77" s="286"/>
      <c r="E77" s="286"/>
      <c r="F77" s="286"/>
    </row>
    <row r="78" spans="1:6" s="279" customFormat="1" ht="15.6">
      <c r="A78" s="302"/>
      <c r="B78" s="324" t="s">
        <v>677</v>
      </c>
      <c r="C78" s="282"/>
      <c r="D78" s="286"/>
      <c r="E78" s="286"/>
      <c r="F78" s="290"/>
    </row>
    <row r="79" spans="1:6" s="279" customFormat="1" ht="14.4">
      <c r="A79" s="302"/>
      <c r="B79" s="292"/>
      <c r="C79" s="282"/>
      <c r="D79" s="282"/>
      <c r="E79" s="232"/>
      <c r="F79" s="283"/>
    </row>
    <row r="80" spans="1:6" s="279" customFormat="1" ht="14.4">
      <c r="A80" s="302"/>
      <c r="B80" s="265" t="s">
        <v>406</v>
      </c>
      <c r="C80" s="282"/>
      <c r="D80" s="264"/>
      <c r="E80" s="232"/>
      <c r="F80" s="283"/>
    </row>
    <row r="81" spans="1:9" s="279" customFormat="1" ht="14.4">
      <c r="A81" s="302"/>
      <c r="B81" s="265"/>
      <c r="C81" s="282"/>
      <c r="D81" s="264"/>
      <c r="E81" s="232"/>
      <c r="F81" s="283"/>
    </row>
    <row r="82" spans="1:9" s="279" customFormat="1" ht="14.4">
      <c r="A82" s="302"/>
      <c r="B82" s="265" t="s">
        <v>407</v>
      </c>
      <c r="C82" s="282"/>
      <c r="D82" s="264"/>
      <c r="E82" s="232"/>
      <c r="F82" s="283"/>
    </row>
    <row r="83" spans="1:9" s="279" customFormat="1" ht="15.6">
      <c r="A83" s="302"/>
      <c r="B83" s="297"/>
      <c r="C83" s="282"/>
      <c r="D83" s="286"/>
      <c r="E83" s="286"/>
      <c r="F83" s="286"/>
    </row>
    <row r="84" spans="1:9" s="279" customFormat="1" ht="28.8">
      <c r="A84" s="302">
        <v>14.22</v>
      </c>
      <c r="B84" s="323" t="s">
        <v>408</v>
      </c>
      <c r="C84" s="282"/>
      <c r="D84" s="286"/>
      <c r="E84" s="286"/>
      <c r="F84" s="286"/>
    </row>
    <row r="85" spans="1:9" s="279" customFormat="1" ht="15.6">
      <c r="A85" s="302"/>
      <c r="B85" s="323" t="s">
        <v>409</v>
      </c>
      <c r="C85" s="325" t="s">
        <v>10</v>
      </c>
      <c r="D85" s="286">
        <v>4</v>
      </c>
      <c r="E85" s="286"/>
      <c r="F85" s="286"/>
    </row>
    <row r="86" spans="1:9" s="279" customFormat="1" ht="15.6">
      <c r="A86" s="302"/>
      <c r="B86" s="284"/>
      <c r="C86" s="282"/>
      <c r="D86" s="286"/>
      <c r="E86" s="286"/>
      <c r="F86" s="286"/>
    </row>
    <row r="87" spans="1:9" s="279" customFormat="1" ht="15.6">
      <c r="A87" s="302"/>
      <c r="B87" s="324" t="s">
        <v>677</v>
      </c>
      <c r="C87" s="282"/>
      <c r="D87" s="286"/>
      <c r="E87" s="286"/>
      <c r="F87" s="290"/>
    </row>
    <row r="88" spans="1:9" s="279" customFormat="1" ht="15.6">
      <c r="A88" s="302"/>
      <c r="B88" s="326"/>
      <c r="C88" s="282"/>
      <c r="D88" s="286"/>
      <c r="E88" s="286"/>
      <c r="F88" s="286"/>
    </row>
    <row r="89" spans="1:9" s="279" customFormat="1" ht="15.6">
      <c r="A89" s="302"/>
      <c r="B89" s="318" t="s">
        <v>678</v>
      </c>
      <c r="C89" s="327"/>
      <c r="D89" s="328"/>
      <c r="E89" s="314"/>
      <c r="F89" s="329"/>
      <c r="G89" s="330"/>
      <c r="H89" s="331"/>
      <c r="I89" s="307"/>
    </row>
    <row r="90" spans="1:9" s="279" customFormat="1" ht="15.6">
      <c r="A90" s="302"/>
      <c r="B90" s="318"/>
      <c r="C90" s="327"/>
      <c r="D90" s="328"/>
      <c r="E90" s="314"/>
      <c r="F90" s="329"/>
      <c r="G90" s="330"/>
      <c r="H90" s="331"/>
      <c r="I90" s="307"/>
    </row>
    <row r="91" spans="1:9" s="279" customFormat="1" ht="15.6">
      <c r="A91" s="302"/>
      <c r="B91" s="318"/>
      <c r="C91" s="327"/>
      <c r="D91" s="332"/>
      <c r="E91" s="314"/>
      <c r="F91" s="329"/>
      <c r="G91" s="330"/>
      <c r="H91" s="331"/>
      <c r="I91" s="307"/>
    </row>
    <row r="92" spans="1:9" s="279" customFormat="1" ht="15.6">
      <c r="A92" s="302"/>
      <c r="B92" s="318" t="s">
        <v>679</v>
      </c>
      <c r="C92" s="314"/>
      <c r="D92" s="333" t="s">
        <v>1</v>
      </c>
      <c r="E92" s="334"/>
      <c r="F92" s="335"/>
      <c r="G92" s="307"/>
      <c r="H92" s="307"/>
      <c r="I92" s="307"/>
    </row>
    <row r="93" spans="1:9" s="279" customFormat="1" ht="15.6">
      <c r="A93" s="302"/>
      <c r="B93" s="336"/>
      <c r="C93" s="314"/>
      <c r="D93" s="337"/>
      <c r="E93" s="334"/>
      <c r="F93" s="338"/>
      <c r="G93" s="307"/>
      <c r="H93" s="307"/>
      <c r="I93" s="307"/>
    </row>
    <row r="94" spans="1:9" s="279" customFormat="1" ht="15.6">
      <c r="A94" s="302"/>
      <c r="B94" s="318"/>
      <c r="C94" s="314"/>
      <c r="D94" s="337"/>
      <c r="E94" s="334"/>
      <c r="F94" s="338"/>
      <c r="G94" s="307"/>
      <c r="H94" s="307"/>
      <c r="I94" s="307"/>
    </row>
    <row r="95" spans="1:9" s="279" customFormat="1" ht="15.6">
      <c r="A95" s="302"/>
      <c r="B95" s="339">
        <v>2</v>
      </c>
      <c r="C95" s="314"/>
      <c r="D95" s="340" t="s">
        <v>680</v>
      </c>
      <c r="E95" s="341"/>
      <c r="F95" s="286"/>
      <c r="G95" s="307"/>
      <c r="H95" s="307"/>
      <c r="I95" s="307"/>
    </row>
    <row r="96" spans="1:9" s="279" customFormat="1" ht="15.6">
      <c r="A96" s="302"/>
      <c r="B96" s="339"/>
      <c r="C96" s="314"/>
      <c r="D96" s="340"/>
      <c r="E96" s="341"/>
      <c r="F96" s="286"/>
      <c r="G96" s="307"/>
      <c r="H96" s="307"/>
      <c r="I96" s="307"/>
    </row>
    <row r="97" spans="1:6" s="279" customFormat="1" ht="15.6">
      <c r="A97" s="302"/>
      <c r="B97" s="339">
        <v>3</v>
      </c>
      <c r="C97" s="232"/>
      <c r="D97" s="340" t="s">
        <v>681</v>
      </c>
      <c r="E97" s="232"/>
      <c r="F97" s="286"/>
    </row>
    <row r="98" spans="1:6" s="279" customFormat="1" ht="15.6">
      <c r="A98" s="302"/>
      <c r="B98" s="293"/>
      <c r="C98" s="232"/>
      <c r="D98" s="282"/>
      <c r="E98" s="232"/>
      <c r="F98" s="286"/>
    </row>
    <row r="99" spans="1:6" s="279" customFormat="1" ht="15.6">
      <c r="A99" s="302"/>
      <c r="B99" s="339">
        <v>4</v>
      </c>
      <c r="C99" s="232"/>
      <c r="D99" s="340" t="s">
        <v>682</v>
      </c>
      <c r="E99" s="232"/>
      <c r="F99" s="286"/>
    </row>
    <row r="100" spans="1:6" s="279" customFormat="1" ht="15.6">
      <c r="A100" s="302"/>
      <c r="B100" s="339"/>
      <c r="C100" s="232"/>
      <c r="D100" s="282"/>
      <c r="E100" s="232"/>
      <c r="F100" s="286"/>
    </row>
    <row r="101" spans="1:6" s="279" customFormat="1" ht="15.6">
      <c r="A101" s="302"/>
      <c r="B101" s="339">
        <v>5</v>
      </c>
      <c r="C101" s="232"/>
      <c r="D101" s="340" t="s">
        <v>683</v>
      </c>
      <c r="E101" s="232"/>
      <c r="F101" s="286"/>
    </row>
    <row r="102" spans="1:6" s="279" customFormat="1" ht="15.6">
      <c r="A102" s="302"/>
      <c r="B102" s="339"/>
      <c r="C102" s="232"/>
      <c r="D102" s="282"/>
      <c r="E102" s="232"/>
      <c r="F102" s="286"/>
    </row>
    <row r="103" spans="1:6" s="279" customFormat="1" ht="15.6">
      <c r="A103" s="302"/>
      <c r="B103" s="339">
        <v>6</v>
      </c>
      <c r="C103" s="232"/>
      <c r="D103" s="340" t="s">
        <v>684</v>
      </c>
      <c r="E103" s="232"/>
      <c r="F103" s="286"/>
    </row>
    <row r="104" spans="1:6" s="279" customFormat="1" ht="15.6">
      <c r="A104" s="302"/>
      <c r="B104" s="339"/>
      <c r="C104" s="232"/>
      <c r="D104" s="282"/>
      <c r="E104" s="232"/>
      <c r="F104" s="286"/>
    </row>
    <row r="105" spans="1:6" s="279" customFormat="1" ht="15.6">
      <c r="A105" s="302"/>
      <c r="B105" s="339">
        <v>8</v>
      </c>
      <c r="C105" s="232"/>
      <c r="D105" s="340" t="s">
        <v>685</v>
      </c>
      <c r="E105" s="232"/>
      <c r="F105" s="286"/>
    </row>
    <row r="106" spans="1:6" s="279" customFormat="1" ht="15.6">
      <c r="A106" s="302"/>
      <c r="B106" s="339"/>
      <c r="C106" s="232"/>
      <c r="D106" s="282"/>
      <c r="E106" s="232"/>
      <c r="F106" s="342"/>
    </row>
    <row r="107" spans="1:6" s="279" customFormat="1" ht="15.6">
      <c r="A107" s="302"/>
      <c r="B107" s="339"/>
      <c r="C107" s="232"/>
      <c r="D107" s="282"/>
      <c r="E107" s="232"/>
      <c r="F107" s="342"/>
    </row>
    <row r="108" spans="1:6" s="279" customFormat="1" ht="15.6">
      <c r="A108" s="232"/>
      <c r="B108" s="339"/>
      <c r="C108" s="232"/>
      <c r="D108" s="282"/>
      <c r="E108" s="232"/>
      <c r="F108" s="342"/>
    </row>
    <row r="109" spans="1:6" s="279" customFormat="1" ht="15.6">
      <c r="A109" s="232"/>
      <c r="B109" s="343" t="s">
        <v>676</v>
      </c>
      <c r="C109" s="232"/>
      <c r="D109" s="282"/>
      <c r="E109" s="232"/>
      <c r="F109" s="290"/>
    </row>
    <row r="110" spans="1:6" s="279" customFormat="1" ht="15.6">
      <c r="A110" s="232"/>
      <c r="B110" s="293"/>
      <c r="C110" s="232"/>
      <c r="D110" s="282"/>
      <c r="E110" s="232"/>
      <c r="F110" s="290"/>
    </row>
    <row r="111" spans="1:6" s="279" customFormat="1" ht="15.6">
      <c r="A111" s="232"/>
      <c r="B111" s="292" t="s">
        <v>938</v>
      </c>
      <c r="C111" s="232"/>
      <c r="D111" s="282"/>
      <c r="E111" s="232"/>
      <c r="F111" s="290"/>
    </row>
  </sheetData>
  <customSheetViews>
    <customSheetView guid="{58A41188-4CB9-4607-A927-9B98665919B2}" scale="122" showPageBreaks="1" printArea="1" view="pageBreakPreview" topLeftCell="A78">
      <selection activeCell="B13" sqref="B13"/>
      <rowBreaks count="2" manualBreakCount="2">
        <brk id="43" max="5" man="1"/>
        <brk id="181" max="5" man="1"/>
      </rowBreaks>
      <pageMargins left="0.7" right="0.7" top="0.75" bottom="0.75" header="0.3" footer="0.3"/>
      <pageSetup paperSize="9" orientation="portrait" r:id="rId1"/>
    </customSheetView>
    <customSheetView guid="{1E933494-4ABB-4290-95BF-88ADDB331983}" scale="122" showPageBreaks="1" printArea="1" view="pageBreakPreview">
      <pane xSplit="2" ySplit="1" topLeftCell="C2" activePane="bottomRight" state="frozen"/>
      <selection pane="bottomRight" activeCell="B7" sqref="B7"/>
      <pageMargins left="0.7" right="0.7" top="0.75" bottom="0.75" header="0.3" footer="0.3"/>
      <pageSetup paperSize="9" orientation="portrait" r:id="rId2"/>
    </customSheetView>
  </customSheetViews>
  <conditionalFormatting sqref="F33:F35">
    <cfRule type="cellIs" dxfId="0" priority="1" stopIfTrue="1" operator="equal">
      <formula>0</formula>
    </cfRule>
  </conditionalFormatting>
  <pageMargins left="0.7" right="0.7" top="0.75" bottom="0.75" header="0.3" footer="0.3"/>
  <pageSetup paperSize="9" orientation="portrait" r:id="rId3"/>
  <rowBreaks count="2" manualBreakCount="2">
    <brk id="88" max="5" man="1"/>
    <brk id="134"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5"/>
  <sheetViews>
    <sheetView view="pageBreakPreview" zoomScale="107" zoomScaleNormal="100" zoomScaleSheetLayoutView="107" workbookViewId="0">
      <selection activeCell="F12" sqref="F12"/>
    </sheetView>
  </sheetViews>
  <sheetFormatPr defaultColWidth="9.109375" defaultRowHeight="14.4"/>
  <cols>
    <col min="1" max="1" width="6.6640625" style="22" customWidth="1"/>
    <col min="2" max="2" width="47.33203125" style="23" customWidth="1"/>
    <col min="3" max="3" width="5.33203125" style="27" bestFit="1" customWidth="1"/>
    <col min="4" max="4" width="5.6640625" style="28" bestFit="1" customWidth="1"/>
    <col min="5" max="5" width="9.6640625" style="24" customWidth="1"/>
    <col min="6" max="6" width="13.6640625" style="29" bestFit="1" customWidth="1"/>
    <col min="7" max="7" width="15.109375" style="18" bestFit="1" customWidth="1"/>
    <col min="8" max="16384" width="9.109375" style="19"/>
  </cols>
  <sheetData>
    <row r="1" spans="1:8" s="12" customFormat="1" ht="28.8">
      <c r="A1" s="236" t="s">
        <v>12</v>
      </c>
      <c r="B1" s="236" t="s">
        <v>13</v>
      </c>
      <c r="C1" s="236" t="s">
        <v>14</v>
      </c>
      <c r="D1" s="397" t="s">
        <v>331</v>
      </c>
      <c r="E1" s="398" t="s">
        <v>686</v>
      </c>
      <c r="F1" s="399"/>
    </row>
    <row r="2" spans="1:8" s="14" customFormat="1">
      <c r="A2" s="235"/>
      <c r="B2" s="400"/>
      <c r="C2" s="239"/>
      <c r="D2" s="238"/>
      <c r="E2" s="401"/>
      <c r="F2" s="237"/>
      <c r="G2" s="13"/>
    </row>
    <row r="3" spans="1:8" s="14" customFormat="1">
      <c r="A3" s="235"/>
      <c r="B3" s="233" t="s">
        <v>1672</v>
      </c>
      <c r="C3" s="239"/>
      <c r="D3" s="238"/>
      <c r="E3" s="401"/>
      <c r="F3" s="237"/>
      <c r="G3" s="13"/>
    </row>
    <row r="4" spans="1:8" s="14" customFormat="1">
      <c r="A4" s="235"/>
      <c r="B4" s="400"/>
      <c r="C4" s="239"/>
      <c r="D4" s="238"/>
      <c r="E4" s="401"/>
      <c r="F4" s="237"/>
      <c r="G4" s="13"/>
    </row>
    <row r="5" spans="1:8">
      <c r="A5" s="266"/>
      <c r="B5" s="233" t="s">
        <v>688</v>
      </c>
      <c r="C5" s="267"/>
      <c r="D5" s="268"/>
      <c r="E5" s="267"/>
      <c r="F5" s="402"/>
    </row>
    <row r="6" spans="1:8">
      <c r="A6" s="266"/>
      <c r="B6" s="233" t="s">
        <v>783</v>
      </c>
      <c r="C6" s="267"/>
      <c r="D6" s="268"/>
      <c r="E6" s="267"/>
      <c r="F6" s="402"/>
    </row>
    <row r="7" spans="1:8">
      <c r="A7" s="266"/>
      <c r="B7" s="233"/>
      <c r="C7" s="267"/>
      <c r="D7" s="268"/>
      <c r="E7" s="267"/>
      <c r="F7" s="402"/>
    </row>
    <row r="8" spans="1:8">
      <c r="A8" s="266">
        <v>15</v>
      </c>
      <c r="B8" s="233" t="s">
        <v>294</v>
      </c>
      <c r="C8" s="267"/>
      <c r="D8" s="268"/>
      <c r="E8" s="267"/>
      <c r="F8" s="402"/>
    </row>
    <row r="9" spans="1:8">
      <c r="A9" s="266"/>
      <c r="B9" s="233"/>
      <c r="C9" s="267"/>
      <c r="D9" s="268"/>
      <c r="E9" s="267"/>
      <c r="F9" s="402"/>
    </row>
    <row r="10" spans="1:8">
      <c r="A10" s="266"/>
      <c r="B10" s="233" t="s">
        <v>414</v>
      </c>
      <c r="C10" s="267"/>
      <c r="D10" s="268"/>
      <c r="E10" s="267"/>
      <c r="F10" s="270"/>
    </row>
    <row r="11" spans="1:8">
      <c r="A11" s="266"/>
      <c r="B11" s="233"/>
      <c r="C11" s="267"/>
      <c r="D11" s="268"/>
      <c r="E11" s="267"/>
      <c r="F11" s="270"/>
    </row>
    <row r="12" spans="1:8" ht="72">
      <c r="A12" s="266">
        <v>15.1</v>
      </c>
      <c r="B12" s="271" t="s">
        <v>784</v>
      </c>
      <c r="C12" s="267" t="s">
        <v>304</v>
      </c>
      <c r="D12" s="268">
        <v>10</v>
      </c>
      <c r="E12" s="267"/>
      <c r="F12" s="403"/>
      <c r="G12" s="20"/>
    </row>
    <row r="13" spans="1:8" ht="86.4">
      <c r="A13" s="266">
        <v>15.2</v>
      </c>
      <c r="B13" s="271" t="s">
        <v>785</v>
      </c>
      <c r="C13" s="267" t="s">
        <v>304</v>
      </c>
      <c r="D13" s="268">
        <f>D12</f>
        <v>10</v>
      </c>
      <c r="E13" s="267"/>
      <c r="F13" s="403"/>
      <c r="G13" s="20"/>
      <c r="H13" s="21"/>
    </row>
    <row r="14" spans="1:8" ht="86.4">
      <c r="A14" s="266">
        <v>15.3</v>
      </c>
      <c r="B14" s="271" t="s">
        <v>786</v>
      </c>
      <c r="C14" s="267" t="s">
        <v>304</v>
      </c>
      <c r="D14" s="268">
        <f>D13</f>
        <v>10</v>
      </c>
      <c r="E14" s="267"/>
      <c r="F14" s="403"/>
      <c r="G14" s="20"/>
      <c r="H14" s="21"/>
    </row>
    <row r="15" spans="1:8">
      <c r="A15" s="266"/>
      <c r="B15" s="271"/>
      <c r="C15" s="268"/>
      <c r="D15" s="268"/>
      <c r="E15" s="404"/>
      <c r="F15" s="405"/>
      <c r="H15" s="21"/>
    </row>
    <row r="16" spans="1:8">
      <c r="A16" s="266"/>
      <c r="B16" s="272" t="s">
        <v>415</v>
      </c>
      <c r="C16" s="273" t="s">
        <v>279</v>
      </c>
      <c r="D16" s="268"/>
      <c r="E16" s="404"/>
      <c r="F16" s="406"/>
      <c r="H16" s="21"/>
    </row>
    <row r="17" spans="1:20" s="18" customFormat="1" ht="15" customHeight="1">
      <c r="A17" s="22"/>
      <c r="B17" s="23"/>
      <c r="C17" s="24"/>
      <c r="D17" s="25"/>
      <c r="E17" s="24"/>
      <c r="F17" s="26"/>
      <c r="H17" s="19"/>
      <c r="I17" s="19"/>
      <c r="J17" s="19"/>
      <c r="K17" s="19"/>
      <c r="L17" s="19"/>
      <c r="M17" s="19"/>
      <c r="N17" s="19"/>
      <c r="O17" s="19"/>
      <c r="P17" s="19"/>
      <c r="Q17" s="19"/>
      <c r="R17" s="19"/>
      <c r="S17" s="19"/>
      <c r="T17" s="19"/>
    </row>
    <row r="18" spans="1:20" s="18" customFormat="1" ht="15" customHeight="1">
      <c r="A18" s="22"/>
      <c r="B18" s="23"/>
      <c r="C18" s="24"/>
      <c r="D18" s="25"/>
      <c r="E18" s="24"/>
      <c r="F18" s="26"/>
      <c r="H18" s="19"/>
      <c r="I18" s="19"/>
      <c r="J18" s="19"/>
      <c r="K18" s="19"/>
      <c r="L18" s="19"/>
      <c r="M18" s="19"/>
      <c r="N18" s="19"/>
      <c r="O18" s="19"/>
      <c r="P18" s="19"/>
      <c r="Q18" s="19"/>
      <c r="R18" s="19"/>
      <c r="S18" s="19"/>
      <c r="T18" s="19"/>
    </row>
    <row r="19" spans="1:20" s="18" customFormat="1" ht="15" customHeight="1">
      <c r="A19" s="22"/>
      <c r="B19" s="23"/>
      <c r="C19" s="24"/>
      <c r="D19" s="25"/>
      <c r="E19" s="24"/>
      <c r="F19" s="26"/>
      <c r="H19" s="19"/>
      <c r="I19" s="19"/>
      <c r="J19" s="19"/>
      <c r="K19" s="19"/>
      <c r="L19" s="19"/>
      <c r="M19" s="19"/>
      <c r="N19" s="19"/>
      <c r="O19" s="19"/>
      <c r="P19" s="19"/>
      <c r="Q19" s="19"/>
      <c r="R19" s="19"/>
      <c r="S19" s="19"/>
      <c r="T19" s="19"/>
    </row>
    <row r="20" spans="1:20" s="18" customFormat="1" ht="15" customHeight="1">
      <c r="A20" s="22"/>
      <c r="B20" s="23"/>
      <c r="C20" s="24"/>
      <c r="D20" s="25"/>
      <c r="E20" s="24"/>
      <c r="F20" s="26"/>
      <c r="H20" s="19"/>
      <c r="I20" s="19"/>
      <c r="J20" s="19"/>
      <c r="K20" s="19"/>
      <c r="L20" s="19"/>
      <c r="M20" s="19"/>
      <c r="N20" s="19"/>
      <c r="O20" s="19"/>
      <c r="P20" s="19"/>
      <c r="Q20" s="19"/>
      <c r="R20" s="19"/>
      <c r="S20" s="19"/>
      <c r="T20" s="19"/>
    </row>
    <row r="21" spans="1:20" s="18" customFormat="1" ht="15" customHeight="1">
      <c r="A21" s="22"/>
      <c r="B21" s="23"/>
      <c r="C21" s="24"/>
      <c r="D21" s="25"/>
      <c r="E21" s="24"/>
      <c r="F21" s="26"/>
      <c r="H21" s="19"/>
      <c r="I21" s="19"/>
      <c r="J21" s="19"/>
      <c r="K21" s="19"/>
      <c r="L21" s="19"/>
      <c r="M21" s="19"/>
      <c r="N21" s="19"/>
      <c r="O21" s="19"/>
      <c r="P21" s="19"/>
      <c r="Q21" s="19"/>
      <c r="R21" s="19"/>
      <c r="S21" s="19"/>
      <c r="T21" s="19"/>
    </row>
    <row r="22" spans="1:20" s="18" customFormat="1" ht="15" customHeight="1">
      <c r="A22" s="22"/>
      <c r="B22" s="23"/>
      <c r="C22" s="24"/>
      <c r="D22" s="25"/>
      <c r="E22" s="24"/>
      <c r="F22" s="26"/>
      <c r="H22" s="19"/>
      <c r="I22" s="19"/>
      <c r="J22" s="19"/>
      <c r="K22" s="19"/>
      <c r="L22" s="19"/>
      <c r="M22" s="19"/>
      <c r="N22" s="19"/>
      <c r="O22" s="19"/>
      <c r="P22" s="19"/>
      <c r="Q22" s="19"/>
      <c r="R22" s="19"/>
      <c r="S22" s="19"/>
      <c r="T22" s="19"/>
    </row>
    <row r="23" spans="1:20" s="18" customFormat="1" ht="15" customHeight="1">
      <c r="A23" s="22"/>
      <c r="B23" s="23"/>
      <c r="C23" s="24"/>
      <c r="D23" s="25"/>
      <c r="E23" s="24"/>
      <c r="F23" s="26"/>
      <c r="H23" s="19"/>
      <c r="I23" s="19"/>
      <c r="J23" s="19"/>
      <c r="K23" s="19"/>
      <c r="L23" s="19"/>
      <c r="M23" s="19"/>
      <c r="N23" s="19"/>
      <c r="O23" s="19"/>
      <c r="P23" s="19"/>
      <c r="Q23" s="19"/>
      <c r="R23" s="19"/>
      <c r="S23" s="19"/>
      <c r="T23" s="19"/>
    </row>
    <row r="24" spans="1:20" s="18" customFormat="1" ht="15" customHeight="1">
      <c r="A24" s="22"/>
      <c r="B24" s="23"/>
      <c r="C24" s="24"/>
      <c r="D24" s="25"/>
      <c r="E24" s="24"/>
      <c r="F24" s="26"/>
      <c r="H24" s="19"/>
      <c r="I24" s="19"/>
      <c r="J24" s="19"/>
      <c r="K24" s="19"/>
      <c r="L24" s="19"/>
      <c r="M24" s="19"/>
      <c r="N24" s="19"/>
      <c r="O24" s="19"/>
      <c r="P24" s="19"/>
      <c r="Q24" s="19"/>
      <c r="R24" s="19"/>
      <c r="S24" s="19"/>
      <c r="T24" s="19"/>
    </row>
    <row r="25" spans="1:20" s="18" customFormat="1" ht="15" customHeight="1">
      <c r="A25" s="22"/>
      <c r="B25" s="23"/>
      <c r="C25" s="24"/>
      <c r="D25" s="25"/>
      <c r="E25" s="24"/>
      <c r="F25" s="26"/>
      <c r="H25" s="19"/>
      <c r="I25" s="19"/>
      <c r="J25" s="19"/>
      <c r="K25" s="19"/>
      <c r="L25" s="19"/>
      <c r="M25" s="19"/>
      <c r="N25" s="19"/>
      <c r="O25" s="19"/>
      <c r="P25" s="19"/>
      <c r="Q25" s="19"/>
      <c r="R25" s="19"/>
      <c r="S25" s="19"/>
      <c r="T25" s="19"/>
    </row>
    <row r="26" spans="1:20" s="18" customFormat="1" ht="15" customHeight="1">
      <c r="A26" s="22"/>
      <c r="B26" s="23"/>
      <c r="C26" s="24"/>
      <c r="D26" s="25"/>
      <c r="E26" s="24"/>
      <c r="F26" s="26"/>
      <c r="H26" s="19"/>
      <c r="I26" s="19"/>
      <c r="J26" s="19"/>
      <c r="K26" s="19"/>
      <c r="L26" s="19"/>
      <c r="M26" s="19"/>
      <c r="N26" s="19"/>
      <c r="O26" s="19"/>
      <c r="P26" s="19"/>
      <c r="Q26" s="19"/>
      <c r="R26" s="19"/>
      <c r="S26" s="19"/>
      <c r="T26" s="19"/>
    </row>
    <row r="27" spans="1:20" s="18" customFormat="1" ht="15" customHeight="1">
      <c r="A27" s="22"/>
      <c r="B27" s="23"/>
      <c r="C27" s="24"/>
      <c r="D27" s="25"/>
      <c r="E27" s="24"/>
      <c r="F27" s="26"/>
      <c r="H27" s="19"/>
      <c r="I27" s="19"/>
      <c r="J27" s="19"/>
      <c r="K27" s="19"/>
      <c r="L27" s="19"/>
      <c r="M27" s="19"/>
      <c r="N27" s="19"/>
      <c r="O27" s="19"/>
      <c r="P27" s="19"/>
      <c r="Q27" s="19"/>
      <c r="R27" s="19"/>
      <c r="S27" s="19"/>
      <c r="T27" s="19"/>
    </row>
    <row r="28" spans="1:20" s="18" customFormat="1" ht="15" customHeight="1">
      <c r="A28" s="22"/>
      <c r="B28" s="23"/>
      <c r="C28" s="24"/>
      <c r="D28" s="25"/>
      <c r="E28" s="24"/>
      <c r="F28" s="26"/>
      <c r="H28" s="19"/>
      <c r="I28" s="19"/>
      <c r="J28" s="19"/>
      <c r="K28" s="19"/>
      <c r="L28" s="19"/>
      <c r="M28" s="19"/>
      <c r="N28" s="19"/>
      <c r="O28" s="19"/>
      <c r="P28" s="19"/>
      <c r="Q28" s="19"/>
      <c r="R28" s="19"/>
      <c r="S28" s="19"/>
      <c r="T28" s="19"/>
    </row>
    <row r="29" spans="1:20" s="18" customFormat="1" ht="15" customHeight="1">
      <c r="A29" s="22"/>
      <c r="B29" s="23"/>
      <c r="C29" s="24"/>
      <c r="D29" s="25"/>
      <c r="E29" s="24"/>
      <c r="F29" s="26"/>
      <c r="H29" s="19"/>
      <c r="I29" s="19"/>
      <c r="J29" s="19"/>
      <c r="K29" s="19"/>
      <c r="L29" s="19"/>
      <c r="M29" s="19"/>
      <c r="N29" s="19"/>
      <c r="O29" s="19"/>
      <c r="P29" s="19"/>
      <c r="Q29" s="19"/>
      <c r="R29" s="19"/>
      <c r="S29" s="19"/>
      <c r="T29" s="19"/>
    </row>
    <row r="30" spans="1:20" s="18" customFormat="1" ht="15" customHeight="1">
      <c r="A30" s="22"/>
      <c r="B30" s="23"/>
      <c r="C30" s="24"/>
      <c r="D30" s="25"/>
      <c r="E30" s="24"/>
      <c r="F30" s="26"/>
      <c r="H30" s="19"/>
      <c r="I30" s="19"/>
      <c r="J30" s="19"/>
      <c r="K30" s="19"/>
      <c r="L30" s="19"/>
      <c r="M30" s="19"/>
      <c r="N30" s="19"/>
      <c r="O30" s="19"/>
      <c r="P30" s="19"/>
      <c r="Q30" s="19"/>
      <c r="R30" s="19"/>
      <c r="S30" s="19"/>
      <c r="T30" s="19"/>
    </row>
    <row r="31" spans="1:20" s="18" customFormat="1" ht="15" customHeight="1">
      <c r="A31" s="22"/>
      <c r="B31" s="23"/>
      <c r="C31" s="24"/>
      <c r="D31" s="25"/>
      <c r="E31" s="24"/>
      <c r="F31" s="26"/>
      <c r="H31" s="19"/>
      <c r="I31" s="19"/>
      <c r="J31" s="19"/>
      <c r="K31" s="19"/>
      <c r="L31" s="19"/>
      <c r="M31" s="19"/>
      <c r="N31" s="19"/>
      <c r="O31" s="19"/>
      <c r="P31" s="19"/>
      <c r="Q31" s="19"/>
      <c r="R31" s="19"/>
      <c r="S31" s="19"/>
      <c r="T31" s="19"/>
    </row>
    <row r="32" spans="1:20" s="18" customFormat="1" ht="15" customHeight="1">
      <c r="A32" s="22"/>
      <c r="B32" s="23"/>
      <c r="C32" s="24"/>
      <c r="D32" s="25"/>
      <c r="E32" s="24"/>
      <c r="F32" s="26"/>
      <c r="H32" s="19"/>
      <c r="I32" s="19"/>
      <c r="J32" s="19"/>
      <c r="K32" s="19"/>
      <c r="L32" s="19"/>
      <c r="M32" s="19"/>
      <c r="N32" s="19"/>
      <c r="O32" s="19"/>
      <c r="P32" s="19"/>
      <c r="Q32" s="19"/>
      <c r="R32" s="19"/>
      <c r="S32" s="19"/>
      <c r="T32" s="19"/>
    </row>
    <row r="33" spans="1:20" s="18" customFormat="1" ht="15" customHeight="1">
      <c r="A33" s="22"/>
      <c r="B33" s="23"/>
      <c r="C33" s="24"/>
      <c r="D33" s="25"/>
      <c r="E33" s="24"/>
      <c r="F33" s="26"/>
      <c r="H33" s="19"/>
      <c r="I33" s="19"/>
      <c r="J33" s="19"/>
      <c r="K33" s="19"/>
      <c r="L33" s="19"/>
      <c r="M33" s="19"/>
      <c r="N33" s="19"/>
      <c r="O33" s="19"/>
      <c r="P33" s="19"/>
      <c r="Q33" s="19"/>
      <c r="R33" s="19"/>
      <c r="S33" s="19"/>
      <c r="T33" s="19"/>
    </row>
    <row r="34" spans="1:20" s="18" customFormat="1" ht="15" customHeight="1">
      <c r="A34" s="22"/>
      <c r="B34" s="23"/>
      <c r="C34" s="24"/>
      <c r="D34" s="25"/>
      <c r="E34" s="24"/>
      <c r="F34" s="26"/>
      <c r="H34" s="19"/>
      <c r="I34" s="19"/>
      <c r="J34" s="19"/>
      <c r="K34" s="19"/>
      <c r="L34" s="19"/>
      <c r="M34" s="19"/>
      <c r="N34" s="19"/>
      <c r="O34" s="19"/>
      <c r="P34" s="19"/>
      <c r="Q34" s="19"/>
      <c r="R34" s="19"/>
      <c r="S34" s="19"/>
      <c r="T34" s="19"/>
    </row>
    <row r="35" spans="1:20" s="18" customFormat="1" ht="15" customHeight="1">
      <c r="A35" s="22"/>
      <c r="B35" s="23"/>
      <c r="C35" s="24"/>
      <c r="D35" s="25"/>
      <c r="E35" s="24"/>
      <c r="F35" s="26"/>
      <c r="H35" s="19"/>
      <c r="I35" s="19"/>
      <c r="J35" s="19"/>
      <c r="K35" s="19"/>
      <c r="L35" s="19"/>
      <c r="M35" s="19"/>
      <c r="N35" s="19"/>
      <c r="O35" s="19"/>
      <c r="P35" s="19"/>
      <c r="Q35" s="19"/>
      <c r="R35" s="19"/>
      <c r="S35" s="19"/>
      <c r="T35" s="19"/>
    </row>
    <row r="36" spans="1:20" s="18" customFormat="1" ht="15" customHeight="1">
      <c r="A36" s="22"/>
      <c r="B36" s="23"/>
      <c r="C36" s="24"/>
      <c r="D36" s="25"/>
      <c r="E36" s="24"/>
      <c r="F36" s="26"/>
      <c r="H36" s="19"/>
      <c r="I36" s="19"/>
      <c r="J36" s="19"/>
      <c r="K36" s="19"/>
      <c r="L36" s="19"/>
      <c r="M36" s="19"/>
      <c r="N36" s="19"/>
      <c r="O36" s="19"/>
      <c r="P36" s="19"/>
      <c r="Q36" s="19"/>
      <c r="R36" s="19"/>
      <c r="S36" s="19"/>
      <c r="T36" s="19"/>
    </row>
    <row r="37" spans="1:20" s="18" customFormat="1" ht="15" customHeight="1">
      <c r="A37" s="22"/>
      <c r="B37" s="23"/>
      <c r="C37" s="24"/>
      <c r="D37" s="25"/>
      <c r="E37" s="24"/>
      <c r="F37" s="26"/>
      <c r="H37" s="19"/>
      <c r="I37" s="19"/>
      <c r="J37" s="19"/>
      <c r="K37" s="19"/>
      <c r="L37" s="19"/>
      <c r="M37" s="19"/>
      <c r="N37" s="19"/>
      <c r="O37" s="19"/>
      <c r="P37" s="19"/>
      <c r="Q37" s="19"/>
      <c r="R37" s="19"/>
      <c r="S37" s="19"/>
      <c r="T37" s="19"/>
    </row>
    <row r="38" spans="1:20" s="18" customFormat="1" ht="15" customHeight="1">
      <c r="A38" s="22"/>
      <c r="B38" s="23"/>
      <c r="C38" s="24"/>
      <c r="D38" s="25"/>
      <c r="E38" s="24"/>
      <c r="F38" s="26"/>
      <c r="H38" s="19"/>
      <c r="I38" s="19"/>
      <c r="J38" s="19"/>
      <c r="K38" s="19"/>
      <c r="L38" s="19"/>
      <c r="M38" s="19"/>
      <c r="N38" s="19"/>
      <c r="O38" s="19"/>
      <c r="P38" s="19"/>
      <c r="Q38" s="19"/>
      <c r="R38" s="19"/>
      <c r="S38" s="19"/>
      <c r="T38" s="19"/>
    </row>
    <row r="39" spans="1:20" s="18" customFormat="1" ht="15" customHeight="1">
      <c r="A39" s="22"/>
      <c r="B39" s="23"/>
      <c r="C39" s="24"/>
      <c r="D39" s="25"/>
      <c r="E39" s="24"/>
      <c r="F39" s="26"/>
      <c r="H39" s="19"/>
      <c r="I39" s="19"/>
      <c r="J39" s="19"/>
      <c r="K39" s="19"/>
      <c r="L39" s="19"/>
      <c r="M39" s="19"/>
      <c r="N39" s="19"/>
      <c r="O39" s="19"/>
      <c r="P39" s="19"/>
      <c r="Q39" s="19"/>
      <c r="R39" s="19"/>
      <c r="S39" s="19"/>
      <c r="T39" s="19"/>
    </row>
    <row r="40" spans="1:20" s="18" customFormat="1" ht="15" customHeight="1">
      <c r="A40" s="22"/>
      <c r="B40" s="23"/>
      <c r="C40" s="24"/>
      <c r="D40" s="25"/>
      <c r="E40" s="24"/>
      <c r="F40" s="26"/>
      <c r="H40" s="19"/>
      <c r="I40" s="19"/>
      <c r="J40" s="19"/>
      <c r="K40" s="19"/>
      <c r="L40" s="19"/>
      <c r="M40" s="19"/>
      <c r="N40" s="19"/>
      <c r="O40" s="19"/>
      <c r="P40" s="19"/>
      <c r="Q40" s="19"/>
      <c r="R40" s="19"/>
      <c r="S40" s="19"/>
      <c r="T40" s="19"/>
    </row>
    <row r="41" spans="1:20" s="18" customFormat="1" ht="15" customHeight="1">
      <c r="A41" s="22"/>
      <c r="B41" s="23"/>
      <c r="C41" s="24"/>
      <c r="D41" s="25"/>
      <c r="E41" s="24"/>
      <c r="F41" s="26"/>
      <c r="H41" s="19"/>
      <c r="I41" s="19"/>
      <c r="J41" s="19"/>
      <c r="K41" s="19"/>
      <c r="L41" s="19"/>
      <c r="M41" s="19"/>
      <c r="N41" s="19"/>
      <c r="O41" s="19"/>
      <c r="P41" s="19"/>
      <c r="Q41" s="19"/>
      <c r="R41" s="19"/>
      <c r="S41" s="19"/>
      <c r="T41" s="19"/>
    </row>
    <row r="42" spans="1:20" s="18" customFormat="1" ht="15" customHeight="1">
      <c r="A42" s="22"/>
      <c r="B42" s="23"/>
      <c r="C42" s="24"/>
      <c r="D42" s="25"/>
      <c r="E42" s="24"/>
      <c r="F42" s="26"/>
      <c r="H42" s="19"/>
      <c r="I42" s="19"/>
      <c r="J42" s="19"/>
      <c r="K42" s="19"/>
      <c r="L42" s="19"/>
      <c r="M42" s="19"/>
      <c r="N42" s="19"/>
      <c r="O42" s="19"/>
      <c r="P42" s="19"/>
      <c r="Q42" s="19"/>
      <c r="R42" s="19"/>
      <c r="S42" s="19"/>
      <c r="T42" s="19"/>
    </row>
    <row r="43" spans="1:20" s="18" customFormat="1" ht="15" customHeight="1">
      <c r="A43" s="22"/>
      <c r="B43" s="23"/>
      <c r="C43" s="24"/>
      <c r="D43" s="25"/>
      <c r="E43" s="24"/>
      <c r="F43" s="26"/>
      <c r="H43" s="19"/>
      <c r="I43" s="19"/>
      <c r="J43" s="19"/>
      <c r="K43" s="19"/>
      <c r="L43" s="19"/>
      <c r="M43" s="19"/>
      <c r="N43" s="19"/>
      <c r="O43" s="19"/>
      <c r="P43" s="19"/>
      <c r="Q43" s="19"/>
      <c r="R43" s="19"/>
      <c r="S43" s="19"/>
      <c r="T43" s="19"/>
    </row>
    <row r="44" spans="1:20" s="18" customFormat="1" ht="15" customHeight="1">
      <c r="A44" s="22"/>
      <c r="B44" s="23"/>
      <c r="C44" s="24"/>
      <c r="D44" s="25"/>
      <c r="E44" s="24"/>
      <c r="F44" s="26"/>
      <c r="H44" s="19"/>
      <c r="I44" s="19"/>
      <c r="J44" s="19"/>
      <c r="K44" s="19"/>
      <c r="L44" s="19"/>
      <c r="M44" s="19"/>
      <c r="N44" s="19"/>
      <c r="O44" s="19"/>
      <c r="P44" s="19"/>
      <c r="Q44" s="19"/>
      <c r="R44" s="19"/>
      <c r="S44" s="19"/>
      <c r="T44" s="19"/>
    </row>
    <row r="45" spans="1:20" s="18" customFormat="1" ht="15" customHeight="1">
      <c r="A45" s="22"/>
      <c r="B45" s="23"/>
      <c r="C45" s="24"/>
      <c r="D45" s="25"/>
      <c r="E45" s="24"/>
      <c r="F45" s="26"/>
      <c r="H45" s="19"/>
      <c r="I45" s="19"/>
      <c r="J45" s="19"/>
      <c r="K45" s="19"/>
      <c r="L45" s="19"/>
      <c r="M45" s="19"/>
      <c r="N45" s="19"/>
      <c r="O45" s="19"/>
      <c r="P45" s="19"/>
      <c r="Q45" s="19"/>
      <c r="R45" s="19"/>
      <c r="S45" s="19"/>
      <c r="T45" s="19"/>
    </row>
    <row r="46" spans="1:20" s="18" customFormat="1" ht="15" customHeight="1">
      <c r="A46" s="22"/>
      <c r="B46" s="23"/>
      <c r="C46" s="24"/>
      <c r="D46" s="25"/>
      <c r="E46" s="24"/>
      <c r="F46" s="26"/>
      <c r="H46" s="19"/>
      <c r="I46" s="19"/>
      <c r="J46" s="19"/>
      <c r="K46" s="19"/>
      <c r="L46" s="19"/>
      <c r="M46" s="19"/>
      <c r="N46" s="19"/>
      <c r="O46" s="19"/>
      <c r="P46" s="19"/>
      <c r="Q46" s="19"/>
      <c r="R46" s="19"/>
      <c r="S46" s="19"/>
      <c r="T46" s="19"/>
    </row>
    <row r="47" spans="1:20" s="18" customFormat="1" ht="15" customHeight="1">
      <c r="A47" s="22"/>
      <c r="B47" s="23"/>
      <c r="C47" s="24"/>
      <c r="D47" s="25"/>
      <c r="E47" s="24"/>
      <c r="F47" s="26"/>
      <c r="H47" s="19"/>
      <c r="I47" s="19"/>
      <c r="J47" s="19"/>
      <c r="K47" s="19"/>
      <c r="L47" s="19"/>
      <c r="M47" s="19"/>
      <c r="N47" s="19"/>
      <c r="O47" s="19"/>
      <c r="P47" s="19"/>
      <c r="Q47" s="19"/>
      <c r="R47" s="19"/>
      <c r="S47" s="19"/>
      <c r="T47" s="19"/>
    </row>
    <row r="48" spans="1:20" s="18" customFormat="1" ht="15" customHeight="1">
      <c r="A48" s="22"/>
      <c r="B48" s="23"/>
      <c r="C48" s="24"/>
      <c r="D48" s="25"/>
      <c r="E48" s="24"/>
      <c r="F48" s="26"/>
      <c r="H48" s="19"/>
      <c r="I48" s="19"/>
      <c r="J48" s="19"/>
      <c r="K48" s="19"/>
      <c r="L48" s="19"/>
      <c r="M48" s="19"/>
      <c r="N48" s="19"/>
      <c r="O48" s="19"/>
      <c r="P48" s="19"/>
      <c r="Q48" s="19"/>
      <c r="R48" s="19"/>
      <c r="S48" s="19"/>
      <c r="T48" s="19"/>
    </row>
    <row r="49" spans="1:20" s="18" customFormat="1" ht="15" customHeight="1">
      <c r="A49" s="22"/>
      <c r="B49" s="23"/>
      <c r="C49" s="24"/>
      <c r="D49" s="25"/>
      <c r="E49" s="24"/>
      <c r="F49" s="26"/>
      <c r="H49" s="19"/>
      <c r="I49" s="19"/>
      <c r="J49" s="19"/>
      <c r="K49" s="19"/>
      <c r="L49" s="19"/>
      <c r="M49" s="19"/>
      <c r="N49" s="19"/>
      <c r="O49" s="19"/>
      <c r="P49" s="19"/>
      <c r="Q49" s="19"/>
      <c r="R49" s="19"/>
      <c r="S49" s="19"/>
      <c r="T49" s="19"/>
    </row>
    <row r="50" spans="1:20" s="18" customFormat="1" ht="15" customHeight="1">
      <c r="A50" s="22"/>
      <c r="B50" s="23"/>
      <c r="C50" s="24"/>
      <c r="D50" s="25"/>
      <c r="E50" s="24"/>
      <c r="F50" s="26"/>
      <c r="H50" s="19"/>
      <c r="I50" s="19"/>
      <c r="J50" s="19"/>
      <c r="K50" s="19"/>
      <c r="L50" s="19"/>
      <c r="M50" s="19"/>
      <c r="N50" s="19"/>
      <c r="O50" s="19"/>
      <c r="P50" s="19"/>
      <c r="Q50" s="19"/>
      <c r="R50" s="19"/>
      <c r="S50" s="19"/>
      <c r="T50" s="19"/>
    </row>
    <row r="51" spans="1:20" s="18" customFormat="1" ht="15" customHeight="1">
      <c r="A51" s="22"/>
      <c r="B51" s="23"/>
      <c r="C51" s="24"/>
      <c r="D51" s="25"/>
      <c r="E51" s="24"/>
      <c r="F51" s="26"/>
      <c r="H51" s="19"/>
      <c r="I51" s="19"/>
      <c r="J51" s="19"/>
      <c r="K51" s="19"/>
      <c r="L51" s="19"/>
      <c r="M51" s="19"/>
      <c r="N51" s="19"/>
      <c r="O51" s="19"/>
      <c r="P51" s="19"/>
      <c r="Q51" s="19"/>
      <c r="R51" s="19"/>
      <c r="S51" s="19"/>
      <c r="T51" s="19"/>
    </row>
    <row r="52" spans="1:20" s="18" customFormat="1" ht="15" customHeight="1">
      <c r="A52" s="22"/>
      <c r="B52" s="23"/>
      <c r="C52" s="24"/>
      <c r="D52" s="25"/>
      <c r="E52" s="24"/>
      <c r="F52" s="26"/>
      <c r="H52" s="19"/>
      <c r="I52" s="19"/>
      <c r="J52" s="19"/>
      <c r="K52" s="19"/>
      <c r="L52" s="19"/>
      <c r="M52" s="19"/>
      <c r="N52" s="19"/>
      <c r="O52" s="19"/>
      <c r="P52" s="19"/>
      <c r="Q52" s="19"/>
      <c r="R52" s="19"/>
      <c r="S52" s="19"/>
      <c r="T52" s="19"/>
    </row>
    <row r="53" spans="1:20" s="18" customFormat="1" ht="15" customHeight="1">
      <c r="A53" s="22"/>
      <c r="B53" s="23"/>
      <c r="C53" s="24"/>
      <c r="D53" s="25"/>
      <c r="E53" s="24"/>
      <c r="F53" s="26"/>
      <c r="H53" s="19"/>
      <c r="I53" s="19"/>
      <c r="J53" s="19"/>
      <c r="K53" s="19"/>
      <c r="L53" s="19"/>
      <c r="M53" s="19"/>
      <c r="N53" s="19"/>
      <c r="O53" s="19"/>
      <c r="P53" s="19"/>
      <c r="Q53" s="19"/>
      <c r="R53" s="19"/>
      <c r="S53" s="19"/>
      <c r="T53" s="19"/>
    </row>
    <row r="54" spans="1:20" s="18" customFormat="1" ht="15" customHeight="1">
      <c r="A54" s="22"/>
      <c r="B54" s="23"/>
      <c r="C54" s="24"/>
      <c r="D54" s="25"/>
      <c r="E54" s="24"/>
      <c r="F54" s="26"/>
      <c r="H54" s="19"/>
      <c r="I54" s="19"/>
      <c r="J54" s="19"/>
      <c r="K54" s="19"/>
      <c r="L54" s="19"/>
      <c r="M54" s="19"/>
      <c r="N54" s="19"/>
      <c r="O54" s="19"/>
      <c r="P54" s="19"/>
      <c r="Q54" s="19"/>
      <c r="R54" s="19"/>
      <c r="S54" s="19"/>
      <c r="T54" s="19"/>
    </row>
    <row r="55" spans="1:20" s="18" customFormat="1" ht="15" customHeight="1">
      <c r="A55" s="22"/>
      <c r="B55" s="23"/>
      <c r="C55" s="24"/>
      <c r="D55" s="25"/>
      <c r="E55" s="24"/>
      <c r="F55" s="26"/>
      <c r="H55" s="19"/>
      <c r="I55" s="19"/>
      <c r="J55" s="19"/>
      <c r="K55" s="19"/>
      <c r="L55" s="19"/>
      <c r="M55" s="19"/>
      <c r="N55" s="19"/>
      <c r="O55" s="19"/>
      <c r="P55" s="19"/>
      <c r="Q55" s="19"/>
      <c r="R55" s="19"/>
      <c r="S55" s="19"/>
      <c r="T55" s="19"/>
    </row>
    <row r="56" spans="1:20" s="18" customFormat="1" ht="15" customHeight="1">
      <c r="A56" s="22"/>
      <c r="B56" s="23"/>
      <c r="C56" s="24"/>
      <c r="D56" s="25"/>
      <c r="E56" s="24"/>
      <c r="F56" s="26"/>
      <c r="H56" s="19"/>
      <c r="I56" s="19"/>
      <c r="J56" s="19"/>
      <c r="K56" s="19"/>
      <c r="L56" s="19"/>
      <c r="M56" s="19"/>
      <c r="N56" s="19"/>
      <c r="O56" s="19"/>
      <c r="P56" s="19"/>
      <c r="Q56" s="19"/>
      <c r="R56" s="19"/>
      <c r="S56" s="19"/>
      <c r="T56" s="19"/>
    </row>
    <row r="57" spans="1:20" s="18" customFormat="1" ht="15" customHeight="1">
      <c r="A57" s="22"/>
      <c r="B57" s="23"/>
      <c r="C57" s="24"/>
      <c r="D57" s="25"/>
      <c r="E57" s="24"/>
      <c r="F57" s="26"/>
      <c r="H57" s="19"/>
      <c r="I57" s="19"/>
      <c r="J57" s="19"/>
      <c r="K57" s="19"/>
      <c r="L57" s="19"/>
      <c r="M57" s="19"/>
      <c r="N57" s="19"/>
      <c r="O57" s="19"/>
      <c r="P57" s="19"/>
      <c r="Q57" s="19"/>
      <c r="R57" s="19"/>
      <c r="S57" s="19"/>
      <c r="T57" s="19"/>
    </row>
    <row r="58" spans="1:20" s="18" customFormat="1" ht="15" customHeight="1">
      <c r="A58" s="22"/>
      <c r="B58" s="23"/>
      <c r="C58" s="24"/>
      <c r="D58" s="25"/>
      <c r="E58" s="24"/>
      <c r="F58" s="26"/>
      <c r="H58" s="19"/>
      <c r="I58" s="19"/>
      <c r="J58" s="19"/>
      <c r="K58" s="19"/>
      <c r="L58" s="19"/>
      <c r="M58" s="19"/>
      <c r="N58" s="19"/>
      <c r="O58" s="19"/>
      <c r="P58" s="19"/>
      <c r="Q58" s="19"/>
      <c r="R58" s="19"/>
      <c r="S58" s="19"/>
      <c r="T58" s="19"/>
    </row>
    <row r="59" spans="1:20" s="18" customFormat="1" ht="15" customHeight="1">
      <c r="A59" s="22"/>
      <c r="B59" s="23"/>
      <c r="C59" s="24"/>
      <c r="D59" s="25"/>
      <c r="E59" s="24"/>
      <c r="F59" s="26"/>
      <c r="H59" s="19"/>
      <c r="I59" s="19"/>
      <c r="J59" s="19"/>
      <c r="K59" s="19"/>
      <c r="L59" s="19"/>
      <c r="M59" s="19"/>
      <c r="N59" s="19"/>
      <c r="O59" s="19"/>
      <c r="P59" s="19"/>
      <c r="Q59" s="19"/>
      <c r="R59" s="19"/>
      <c r="S59" s="19"/>
      <c r="T59" s="19"/>
    </row>
    <row r="60" spans="1:20" s="18" customFormat="1" ht="15" customHeight="1">
      <c r="A60" s="22"/>
      <c r="B60" s="23"/>
      <c r="C60" s="24"/>
      <c r="D60" s="25"/>
      <c r="E60" s="24"/>
      <c r="F60" s="26"/>
      <c r="H60" s="19"/>
      <c r="I60" s="19"/>
      <c r="J60" s="19"/>
      <c r="K60" s="19"/>
      <c r="L60" s="19"/>
      <c r="M60" s="19"/>
      <c r="N60" s="19"/>
      <c r="O60" s="19"/>
      <c r="P60" s="19"/>
      <c r="Q60" s="19"/>
      <c r="R60" s="19"/>
      <c r="S60" s="19"/>
      <c r="T60" s="19"/>
    </row>
    <row r="61" spans="1:20" s="18" customFormat="1" ht="15" customHeight="1">
      <c r="A61" s="22"/>
      <c r="B61" s="23"/>
      <c r="C61" s="24"/>
      <c r="D61" s="25"/>
      <c r="E61" s="24"/>
      <c r="F61" s="26"/>
      <c r="H61" s="19"/>
      <c r="I61" s="19"/>
      <c r="J61" s="19"/>
      <c r="K61" s="19"/>
      <c r="L61" s="19"/>
      <c r="M61" s="19"/>
      <c r="N61" s="19"/>
      <c r="O61" s="19"/>
      <c r="P61" s="19"/>
      <c r="Q61" s="19"/>
      <c r="R61" s="19"/>
      <c r="S61" s="19"/>
      <c r="T61" s="19"/>
    </row>
    <row r="62" spans="1:20" s="18" customFormat="1" ht="15" customHeight="1">
      <c r="A62" s="22"/>
      <c r="B62" s="23"/>
      <c r="C62" s="24"/>
      <c r="D62" s="25"/>
      <c r="E62" s="24"/>
      <c r="F62" s="26"/>
      <c r="H62" s="19"/>
      <c r="I62" s="19"/>
      <c r="J62" s="19"/>
      <c r="K62" s="19"/>
      <c r="L62" s="19"/>
      <c r="M62" s="19"/>
      <c r="N62" s="19"/>
      <c r="O62" s="19"/>
      <c r="P62" s="19"/>
      <c r="Q62" s="19"/>
      <c r="R62" s="19"/>
      <c r="S62" s="19"/>
      <c r="T62" s="19"/>
    </row>
    <row r="63" spans="1:20" s="18" customFormat="1" ht="15" customHeight="1">
      <c r="A63" s="22"/>
      <c r="B63" s="23"/>
      <c r="C63" s="24"/>
      <c r="D63" s="25"/>
      <c r="E63" s="24"/>
      <c r="F63" s="26"/>
      <c r="H63" s="19"/>
      <c r="I63" s="19"/>
      <c r="J63" s="19"/>
      <c r="K63" s="19"/>
      <c r="L63" s="19"/>
      <c r="M63" s="19"/>
      <c r="N63" s="19"/>
      <c r="O63" s="19"/>
      <c r="P63" s="19"/>
      <c r="Q63" s="19"/>
      <c r="R63" s="19"/>
      <c r="S63" s="19"/>
      <c r="T63" s="19"/>
    </row>
    <row r="64" spans="1:20" s="18" customFormat="1" ht="15" customHeight="1">
      <c r="A64" s="22"/>
      <c r="B64" s="23"/>
      <c r="C64" s="24"/>
      <c r="D64" s="25"/>
      <c r="E64" s="24"/>
      <c r="F64" s="26"/>
      <c r="H64" s="19"/>
      <c r="I64" s="19"/>
      <c r="J64" s="19"/>
      <c r="K64" s="19"/>
      <c r="L64" s="19"/>
      <c r="M64" s="19"/>
      <c r="N64" s="19"/>
      <c r="O64" s="19"/>
      <c r="P64" s="19"/>
      <c r="Q64" s="19"/>
      <c r="R64" s="19"/>
      <c r="S64" s="19"/>
      <c r="T64" s="19"/>
    </row>
    <row r="65" spans="1:20" s="18" customFormat="1" ht="15" customHeight="1">
      <c r="A65" s="22"/>
      <c r="B65" s="23"/>
      <c r="C65" s="24"/>
      <c r="D65" s="25"/>
      <c r="E65" s="24"/>
      <c r="F65" s="26"/>
      <c r="H65" s="19"/>
      <c r="I65" s="19"/>
      <c r="J65" s="19"/>
      <c r="K65" s="19"/>
      <c r="L65" s="19"/>
      <c r="M65" s="19"/>
      <c r="N65" s="19"/>
      <c r="O65" s="19"/>
      <c r="P65" s="19"/>
      <c r="Q65" s="19"/>
      <c r="R65" s="19"/>
      <c r="S65" s="19"/>
      <c r="T65" s="19"/>
    </row>
    <row r="66" spans="1:20" s="18" customFormat="1" ht="15" customHeight="1">
      <c r="A66" s="22"/>
      <c r="B66" s="23"/>
      <c r="C66" s="24"/>
      <c r="D66" s="25"/>
      <c r="E66" s="24"/>
      <c r="F66" s="26"/>
      <c r="H66" s="19"/>
      <c r="I66" s="19"/>
      <c r="J66" s="19"/>
      <c r="K66" s="19"/>
      <c r="L66" s="19"/>
      <c r="M66" s="19"/>
      <c r="N66" s="19"/>
      <c r="O66" s="19"/>
      <c r="P66" s="19"/>
      <c r="Q66" s="19"/>
      <c r="R66" s="19"/>
      <c r="S66" s="19"/>
      <c r="T66" s="19"/>
    </row>
    <row r="67" spans="1:20" s="18" customFormat="1" ht="15" customHeight="1">
      <c r="A67" s="22"/>
      <c r="B67" s="23"/>
      <c r="C67" s="24"/>
      <c r="D67" s="25"/>
      <c r="E67" s="24"/>
      <c r="F67" s="26"/>
      <c r="H67" s="19"/>
      <c r="I67" s="19"/>
      <c r="J67" s="19"/>
      <c r="K67" s="19"/>
      <c r="L67" s="19"/>
      <c r="M67" s="19"/>
      <c r="N67" s="19"/>
      <c r="O67" s="19"/>
      <c r="P67" s="19"/>
      <c r="Q67" s="19"/>
      <c r="R67" s="19"/>
      <c r="S67" s="19"/>
      <c r="T67" s="19"/>
    </row>
    <row r="68" spans="1:20" s="18" customFormat="1" ht="15" customHeight="1">
      <c r="A68" s="22"/>
      <c r="B68" s="23"/>
      <c r="C68" s="24"/>
      <c r="D68" s="25"/>
      <c r="E68" s="24"/>
      <c r="F68" s="26"/>
      <c r="H68" s="19"/>
      <c r="I68" s="19"/>
      <c r="J68" s="19"/>
      <c r="K68" s="19"/>
      <c r="L68" s="19"/>
      <c r="M68" s="19"/>
      <c r="N68" s="19"/>
      <c r="O68" s="19"/>
      <c r="P68" s="19"/>
      <c r="Q68" s="19"/>
      <c r="R68" s="19"/>
      <c r="S68" s="19"/>
      <c r="T68" s="19"/>
    </row>
    <row r="69" spans="1:20" s="18" customFormat="1" ht="15" customHeight="1">
      <c r="A69" s="22"/>
      <c r="B69" s="23"/>
      <c r="C69" s="24"/>
      <c r="D69" s="25"/>
      <c r="E69" s="24"/>
      <c r="F69" s="26"/>
      <c r="H69" s="19"/>
      <c r="I69" s="19"/>
      <c r="J69" s="19"/>
      <c r="K69" s="19"/>
      <c r="L69" s="19"/>
      <c r="M69" s="19"/>
      <c r="N69" s="19"/>
      <c r="O69" s="19"/>
      <c r="P69" s="19"/>
      <c r="Q69" s="19"/>
      <c r="R69" s="19"/>
      <c r="S69" s="19"/>
      <c r="T69" s="19"/>
    </row>
    <row r="70" spans="1:20" s="18" customFormat="1" ht="15" customHeight="1">
      <c r="A70" s="22"/>
      <c r="B70" s="23"/>
      <c r="C70" s="24"/>
      <c r="D70" s="25"/>
      <c r="E70" s="24"/>
      <c r="F70" s="26"/>
      <c r="H70" s="19"/>
      <c r="I70" s="19"/>
      <c r="J70" s="19"/>
      <c r="K70" s="19"/>
      <c r="L70" s="19"/>
      <c r="M70" s="19"/>
      <c r="N70" s="19"/>
      <c r="O70" s="19"/>
      <c r="P70" s="19"/>
      <c r="Q70" s="19"/>
      <c r="R70" s="19"/>
      <c r="S70" s="19"/>
      <c r="T70" s="19"/>
    </row>
    <row r="71" spans="1:20" s="18" customFormat="1" ht="15" customHeight="1">
      <c r="A71" s="22"/>
      <c r="B71" s="23"/>
      <c r="C71" s="24"/>
      <c r="D71" s="25"/>
      <c r="E71" s="24"/>
      <c r="F71" s="26"/>
      <c r="H71" s="19"/>
      <c r="I71" s="19"/>
      <c r="J71" s="19"/>
      <c r="K71" s="19"/>
      <c r="L71" s="19"/>
      <c r="M71" s="19"/>
      <c r="N71" s="19"/>
      <c r="O71" s="19"/>
      <c r="P71" s="19"/>
      <c r="Q71" s="19"/>
      <c r="R71" s="19"/>
      <c r="S71" s="19"/>
      <c r="T71" s="19"/>
    </row>
    <row r="72" spans="1:20" s="18" customFormat="1" ht="15" customHeight="1">
      <c r="A72" s="22"/>
      <c r="B72" s="23"/>
      <c r="C72" s="24"/>
      <c r="D72" s="25"/>
      <c r="E72" s="24"/>
      <c r="F72" s="26"/>
      <c r="H72" s="19"/>
      <c r="I72" s="19"/>
      <c r="J72" s="19"/>
      <c r="K72" s="19"/>
      <c r="L72" s="19"/>
      <c r="M72" s="19"/>
      <c r="N72" s="19"/>
      <c r="O72" s="19"/>
      <c r="P72" s="19"/>
      <c r="Q72" s="19"/>
      <c r="R72" s="19"/>
      <c r="S72" s="19"/>
      <c r="T72" s="19"/>
    </row>
    <row r="73" spans="1:20" s="18" customFormat="1" ht="15" customHeight="1">
      <c r="A73" s="22"/>
      <c r="B73" s="23"/>
      <c r="C73" s="24"/>
      <c r="D73" s="25"/>
      <c r="E73" s="24"/>
      <c r="F73" s="26"/>
      <c r="H73" s="19"/>
      <c r="I73" s="19"/>
      <c r="J73" s="19"/>
      <c r="K73" s="19"/>
      <c r="L73" s="19"/>
      <c r="M73" s="19"/>
      <c r="N73" s="19"/>
      <c r="O73" s="19"/>
      <c r="P73" s="19"/>
      <c r="Q73" s="19"/>
      <c r="R73" s="19"/>
      <c r="S73" s="19"/>
      <c r="T73" s="19"/>
    </row>
    <row r="74" spans="1:20" s="18" customFormat="1" ht="15" customHeight="1">
      <c r="A74" s="22"/>
      <c r="B74" s="23"/>
      <c r="C74" s="24"/>
      <c r="D74" s="25"/>
      <c r="E74" s="24"/>
      <c r="F74" s="26"/>
      <c r="H74" s="19"/>
      <c r="I74" s="19"/>
      <c r="J74" s="19"/>
      <c r="K74" s="19"/>
      <c r="L74" s="19"/>
      <c r="M74" s="19"/>
      <c r="N74" s="19"/>
      <c r="O74" s="19"/>
      <c r="P74" s="19"/>
      <c r="Q74" s="19"/>
      <c r="R74" s="19"/>
      <c r="S74" s="19"/>
      <c r="T74" s="19"/>
    </row>
    <row r="75" spans="1:20" s="18" customFormat="1" ht="15" customHeight="1">
      <c r="A75" s="22"/>
      <c r="B75" s="23"/>
      <c r="C75" s="24"/>
      <c r="D75" s="25"/>
      <c r="E75" s="24"/>
      <c r="F75" s="26"/>
      <c r="H75" s="19"/>
      <c r="I75" s="19"/>
      <c r="J75" s="19"/>
      <c r="K75" s="19"/>
      <c r="L75" s="19"/>
      <c r="M75" s="19"/>
      <c r="N75" s="19"/>
      <c r="O75" s="19"/>
      <c r="P75" s="19"/>
      <c r="Q75" s="19"/>
      <c r="R75" s="19"/>
      <c r="S75" s="19"/>
      <c r="T75" s="19"/>
    </row>
    <row r="76" spans="1:20" s="18" customFormat="1" ht="15" customHeight="1">
      <c r="A76" s="22"/>
      <c r="B76" s="23"/>
      <c r="C76" s="24"/>
      <c r="D76" s="25"/>
      <c r="E76" s="24"/>
      <c r="F76" s="26"/>
      <c r="H76" s="19"/>
      <c r="I76" s="19"/>
      <c r="J76" s="19"/>
      <c r="K76" s="19"/>
      <c r="L76" s="19"/>
      <c r="M76" s="19"/>
      <c r="N76" s="19"/>
      <c r="O76" s="19"/>
      <c r="P76" s="19"/>
      <c r="Q76" s="19"/>
      <c r="R76" s="19"/>
      <c r="S76" s="19"/>
      <c r="T76" s="19"/>
    </row>
    <row r="77" spans="1:20" s="18" customFormat="1" ht="15" customHeight="1">
      <c r="A77" s="22"/>
      <c r="B77" s="23"/>
      <c r="C77" s="24"/>
      <c r="D77" s="25"/>
      <c r="E77" s="24"/>
      <c r="F77" s="26"/>
      <c r="H77" s="19"/>
      <c r="I77" s="19"/>
      <c r="J77" s="19"/>
      <c r="K77" s="19"/>
      <c r="L77" s="19"/>
      <c r="M77" s="19"/>
      <c r="N77" s="19"/>
      <c r="O77" s="19"/>
      <c r="P77" s="19"/>
      <c r="Q77" s="19"/>
      <c r="R77" s="19"/>
      <c r="S77" s="19"/>
      <c r="T77" s="19"/>
    </row>
    <row r="78" spans="1:20" s="18" customFormat="1" ht="15" customHeight="1">
      <c r="A78" s="22"/>
      <c r="B78" s="23"/>
      <c r="C78" s="24"/>
      <c r="D78" s="25"/>
      <c r="E78" s="24"/>
      <c r="F78" s="26"/>
      <c r="H78" s="19"/>
      <c r="I78" s="19"/>
      <c r="J78" s="19"/>
      <c r="K78" s="19"/>
      <c r="L78" s="19"/>
      <c r="M78" s="19"/>
      <c r="N78" s="19"/>
      <c r="O78" s="19"/>
      <c r="P78" s="19"/>
      <c r="Q78" s="19"/>
      <c r="R78" s="19"/>
      <c r="S78" s="19"/>
      <c r="T78" s="19"/>
    </row>
    <row r="79" spans="1:20" s="18" customFormat="1" ht="15" customHeight="1">
      <c r="A79" s="22"/>
      <c r="B79" s="23"/>
      <c r="C79" s="24"/>
      <c r="D79" s="25"/>
      <c r="E79" s="24"/>
      <c r="F79" s="26"/>
      <c r="H79" s="19"/>
      <c r="I79" s="19"/>
      <c r="J79" s="19"/>
      <c r="K79" s="19"/>
      <c r="L79" s="19"/>
      <c r="M79" s="19"/>
      <c r="N79" s="19"/>
      <c r="O79" s="19"/>
      <c r="P79" s="19"/>
      <c r="Q79" s="19"/>
      <c r="R79" s="19"/>
      <c r="S79" s="19"/>
      <c r="T79" s="19"/>
    </row>
    <row r="80" spans="1:20" s="18" customFormat="1" ht="15" customHeight="1">
      <c r="A80" s="22"/>
      <c r="B80" s="23"/>
      <c r="C80" s="24"/>
      <c r="D80" s="25"/>
      <c r="E80" s="24"/>
      <c r="F80" s="26"/>
      <c r="H80" s="19"/>
      <c r="I80" s="19"/>
      <c r="J80" s="19"/>
      <c r="K80" s="19"/>
      <c r="L80" s="19"/>
      <c r="M80" s="19"/>
      <c r="N80" s="19"/>
      <c r="O80" s="19"/>
      <c r="P80" s="19"/>
      <c r="Q80" s="19"/>
      <c r="R80" s="19"/>
      <c r="S80" s="19"/>
      <c r="T80" s="19"/>
    </row>
    <row r="81" spans="1:20" s="18" customFormat="1" ht="15" customHeight="1">
      <c r="A81" s="22"/>
      <c r="B81" s="23"/>
      <c r="C81" s="24"/>
      <c r="D81" s="25"/>
      <c r="E81" s="24"/>
      <c r="F81" s="26"/>
      <c r="H81" s="19"/>
      <c r="I81" s="19"/>
      <c r="J81" s="19"/>
      <c r="K81" s="19"/>
      <c r="L81" s="19"/>
      <c r="M81" s="19"/>
      <c r="N81" s="19"/>
      <c r="O81" s="19"/>
      <c r="P81" s="19"/>
      <c r="Q81" s="19"/>
      <c r="R81" s="19"/>
      <c r="S81" s="19"/>
      <c r="T81" s="19"/>
    </row>
    <row r="82" spans="1:20" s="18" customFormat="1" ht="15" customHeight="1">
      <c r="A82" s="22"/>
      <c r="B82" s="23"/>
      <c r="C82" s="24"/>
      <c r="D82" s="25"/>
      <c r="E82" s="24"/>
      <c r="F82" s="26"/>
      <c r="H82" s="19"/>
      <c r="I82" s="19"/>
      <c r="J82" s="19"/>
      <c r="K82" s="19"/>
      <c r="L82" s="19"/>
      <c r="M82" s="19"/>
      <c r="N82" s="19"/>
      <c r="O82" s="19"/>
      <c r="P82" s="19"/>
      <c r="Q82" s="19"/>
      <c r="R82" s="19"/>
      <c r="S82" s="19"/>
      <c r="T82" s="19"/>
    </row>
    <row r="83" spans="1:20" s="18" customFormat="1" ht="15" customHeight="1">
      <c r="A83" s="22"/>
      <c r="B83" s="23"/>
      <c r="C83" s="24"/>
      <c r="D83" s="25"/>
      <c r="E83" s="24"/>
      <c r="F83" s="26"/>
      <c r="H83" s="19"/>
      <c r="I83" s="19"/>
      <c r="J83" s="19"/>
      <c r="K83" s="19"/>
      <c r="L83" s="19"/>
      <c r="M83" s="19"/>
      <c r="N83" s="19"/>
      <c r="O83" s="19"/>
      <c r="P83" s="19"/>
      <c r="Q83" s="19"/>
      <c r="R83" s="19"/>
      <c r="S83" s="19"/>
      <c r="T83" s="19"/>
    </row>
    <row r="84" spans="1:20" s="18" customFormat="1" ht="15" customHeight="1">
      <c r="A84" s="22"/>
      <c r="B84" s="23"/>
      <c r="C84" s="24"/>
      <c r="D84" s="25"/>
      <c r="E84" s="24"/>
      <c r="F84" s="26"/>
      <c r="H84" s="19"/>
      <c r="I84" s="19"/>
      <c r="J84" s="19"/>
      <c r="K84" s="19"/>
      <c r="L84" s="19"/>
      <c r="M84" s="19"/>
      <c r="N84" s="19"/>
      <c r="O84" s="19"/>
      <c r="P84" s="19"/>
      <c r="Q84" s="19"/>
      <c r="R84" s="19"/>
      <c r="S84" s="19"/>
      <c r="T84" s="19"/>
    </row>
    <row r="85" spans="1:20" s="18" customFormat="1" ht="15" customHeight="1">
      <c r="A85" s="22"/>
      <c r="B85" s="23"/>
      <c r="C85" s="24"/>
      <c r="D85" s="25"/>
      <c r="E85" s="24"/>
      <c r="F85" s="26"/>
      <c r="H85" s="19"/>
      <c r="I85" s="19"/>
      <c r="J85" s="19"/>
      <c r="K85" s="19"/>
      <c r="L85" s="19"/>
      <c r="M85" s="19"/>
      <c r="N85" s="19"/>
      <c r="O85" s="19"/>
      <c r="P85" s="19"/>
      <c r="Q85" s="19"/>
      <c r="R85" s="19"/>
      <c r="S85" s="19"/>
      <c r="T85" s="19"/>
    </row>
    <row r="86" spans="1:20" s="18" customFormat="1" ht="15" customHeight="1">
      <c r="A86" s="22"/>
      <c r="B86" s="23"/>
      <c r="C86" s="24"/>
      <c r="D86" s="25"/>
      <c r="E86" s="24"/>
      <c r="F86" s="26"/>
      <c r="H86" s="19"/>
      <c r="I86" s="19"/>
      <c r="J86" s="19"/>
      <c r="K86" s="19"/>
      <c r="L86" s="19"/>
      <c r="M86" s="19"/>
      <c r="N86" s="19"/>
      <c r="O86" s="19"/>
      <c r="P86" s="19"/>
      <c r="Q86" s="19"/>
      <c r="R86" s="19"/>
      <c r="S86" s="19"/>
      <c r="T86" s="19"/>
    </row>
    <row r="87" spans="1:20" s="18" customFormat="1" ht="15" customHeight="1">
      <c r="A87" s="22"/>
      <c r="B87" s="23"/>
      <c r="C87" s="24"/>
      <c r="D87" s="25"/>
      <c r="E87" s="24"/>
      <c r="F87" s="26"/>
      <c r="H87" s="19"/>
      <c r="I87" s="19"/>
      <c r="J87" s="19"/>
      <c r="K87" s="19"/>
      <c r="L87" s="19"/>
      <c r="M87" s="19"/>
      <c r="N87" s="19"/>
      <c r="O87" s="19"/>
      <c r="P87" s="19"/>
      <c r="Q87" s="19"/>
      <c r="R87" s="19"/>
      <c r="S87" s="19"/>
      <c r="T87" s="19"/>
    </row>
    <row r="88" spans="1:20" s="18" customFormat="1" ht="15" customHeight="1">
      <c r="A88" s="22"/>
      <c r="B88" s="23"/>
      <c r="C88" s="24"/>
      <c r="D88" s="25"/>
      <c r="E88" s="24"/>
      <c r="F88" s="26"/>
      <c r="H88" s="19"/>
      <c r="I88" s="19"/>
      <c r="J88" s="19"/>
      <c r="K88" s="19"/>
      <c r="L88" s="19"/>
      <c r="M88" s="19"/>
      <c r="N88" s="19"/>
      <c r="O88" s="19"/>
      <c r="P88" s="19"/>
      <c r="Q88" s="19"/>
      <c r="R88" s="19"/>
      <c r="S88" s="19"/>
      <c r="T88" s="19"/>
    </row>
    <row r="89" spans="1:20" s="18" customFormat="1" ht="15" customHeight="1">
      <c r="A89" s="22"/>
      <c r="B89" s="23"/>
      <c r="C89" s="24"/>
      <c r="D89" s="25"/>
      <c r="E89" s="24"/>
      <c r="F89" s="26"/>
      <c r="H89" s="19"/>
      <c r="I89" s="19"/>
      <c r="J89" s="19"/>
      <c r="K89" s="19"/>
      <c r="L89" s="19"/>
      <c r="M89" s="19"/>
      <c r="N89" s="19"/>
      <c r="O89" s="19"/>
      <c r="P89" s="19"/>
      <c r="Q89" s="19"/>
      <c r="R89" s="19"/>
      <c r="S89" s="19"/>
      <c r="T89" s="19"/>
    </row>
    <row r="90" spans="1:20" s="18" customFormat="1" ht="15" customHeight="1">
      <c r="A90" s="22"/>
      <c r="B90" s="23"/>
      <c r="C90" s="24"/>
      <c r="D90" s="25"/>
      <c r="E90" s="24"/>
      <c r="F90" s="26"/>
      <c r="H90" s="19"/>
      <c r="I90" s="19"/>
      <c r="J90" s="19"/>
      <c r="K90" s="19"/>
      <c r="L90" s="19"/>
      <c r="M90" s="19"/>
      <c r="N90" s="19"/>
      <c r="O90" s="19"/>
      <c r="P90" s="19"/>
      <c r="Q90" s="19"/>
      <c r="R90" s="19"/>
      <c r="S90" s="19"/>
      <c r="T90" s="19"/>
    </row>
    <row r="91" spans="1:20" s="18" customFormat="1" ht="15" customHeight="1">
      <c r="A91" s="22"/>
      <c r="B91" s="23"/>
      <c r="C91" s="24"/>
      <c r="D91" s="25"/>
      <c r="E91" s="24"/>
      <c r="F91" s="26"/>
      <c r="H91" s="19"/>
      <c r="I91" s="19"/>
      <c r="J91" s="19"/>
      <c r="K91" s="19"/>
      <c r="L91" s="19"/>
      <c r="M91" s="19"/>
      <c r="N91" s="19"/>
      <c r="O91" s="19"/>
      <c r="P91" s="19"/>
      <c r="Q91" s="19"/>
      <c r="R91" s="19"/>
      <c r="S91" s="19"/>
      <c r="T91" s="19"/>
    </row>
    <row r="92" spans="1:20" s="18" customFormat="1" ht="15" customHeight="1">
      <c r="A92" s="22"/>
      <c r="B92" s="23"/>
      <c r="C92" s="24"/>
      <c r="D92" s="25"/>
      <c r="E92" s="24"/>
      <c r="F92" s="26"/>
      <c r="H92" s="19"/>
      <c r="I92" s="19"/>
      <c r="J92" s="19"/>
      <c r="K92" s="19"/>
      <c r="L92" s="19"/>
      <c r="M92" s="19"/>
      <c r="N92" s="19"/>
      <c r="O92" s="19"/>
      <c r="P92" s="19"/>
      <c r="Q92" s="19"/>
      <c r="R92" s="19"/>
      <c r="S92" s="19"/>
      <c r="T92" s="19"/>
    </row>
    <row r="93" spans="1:20" s="18" customFormat="1" ht="15" customHeight="1">
      <c r="A93" s="22"/>
      <c r="B93" s="23"/>
      <c r="C93" s="24"/>
      <c r="D93" s="25"/>
      <c r="E93" s="24"/>
      <c r="F93" s="26"/>
      <c r="H93" s="19"/>
      <c r="I93" s="19"/>
      <c r="J93" s="19"/>
      <c r="K93" s="19"/>
      <c r="L93" s="19"/>
      <c r="M93" s="19"/>
      <c r="N93" s="19"/>
      <c r="O93" s="19"/>
      <c r="P93" s="19"/>
      <c r="Q93" s="19"/>
      <c r="R93" s="19"/>
      <c r="S93" s="19"/>
      <c r="T93" s="19"/>
    </row>
    <row r="94" spans="1:20" s="18" customFormat="1" ht="15" customHeight="1">
      <c r="A94" s="22"/>
      <c r="B94" s="23"/>
      <c r="C94" s="24"/>
      <c r="D94" s="25"/>
      <c r="E94" s="24"/>
      <c r="F94" s="26"/>
      <c r="H94" s="19"/>
      <c r="I94" s="19"/>
      <c r="J94" s="19"/>
      <c r="K94" s="19"/>
      <c r="L94" s="19"/>
      <c r="M94" s="19"/>
      <c r="N94" s="19"/>
      <c r="O94" s="19"/>
      <c r="P94" s="19"/>
      <c r="Q94" s="19"/>
      <c r="R94" s="19"/>
      <c r="S94" s="19"/>
      <c r="T94" s="19"/>
    </row>
    <row r="95" spans="1:20" s="18" customFormat="1" ht="15" customHeight="1">
      <c r="A95" s="22"/>
      <c r="B95" s="23"/>
      <c r="C95" s="24"/>
      <c r="D95" s="25"/>
      <c r="E95" s="24"/>
      <c r="F95" s="26"/>
      <c r="H95" s="19"/>
      <c r="I95" s="19"/>
      <c r="J95" s="19"/>
      <c r="K95" s="19"/>
      <c r="L95" s="19"/>
      <c r="M95" s="19"/>
      <c r="N95" s="19"/>
      <c r="O95" s="19"/>
      <c r="P95" s="19"/>
      <c r="Q95" s="19"/>
      <c r="R95" s="19"/>
      <c r="S95" s="19"/>
      <c r="T95" s="19"/>
    </row>
    <row r="96" spans="1:20" s="18" customFormat="1" ht="15" customHeight="1">
      <c r="A96" s="22"/>
      <c r="B96" s="23"/>
      <c r="C96" s="24"/>
      <c r="D96" s="25"/>
      <c r="E96" s="24"/>
      <c r="F96" s="26"/>
      <c r="H96" s="19"/>
      <c r="I96" s="19"/>
      <c r="J96" s="19"/>
      <c r="K96" s="19"/>
      <c r="L96" s="19"/>
      <c r="M96" s="19"/>
      <c r="N96" s="19"/>
      <c r="O96" s="19"/>
      <c r="P96" s="19"/>
      <c r="Q96" s="19"/>
      <c r="R96" s="19"/>
      <c r="S96" s="19"/>
      <c r="T96" s="19"/>
    </row>
    <row r="97" spans="1:20" s="18" customFormat="1" ht="15" customHeight="1">
      <c r="A97" s="22"/>
      <c r="B97" s="23"/>
      <c r="C97" s="24"/>
      <c r="D97" s="25"/>
      <c r="E97" s="24"/>
      <c r="F97" s="26"/>
      <c r="H97" s="19"/>
      <c r="I97" s="19"/>
      <c r="J97" s="19"/>
      <c r="K97" s="19"/>
      <c r="L97" s="19"/>
      <c r="M97" s="19"/>
      <c r="N97" s="19"/>
      <c r="O97" s="19"/>
      <c r="P97" s="19"/>
      <c r="Q97" s="19"/>
      <c r="R97" s="19"/>
      <c r="S97" s="19"/>
      <c r="T97" s="19"/>
    </row>
    <row r="98" spans="1:20" s="18" customFormat="1" ht="15" customHeight="1">
      <c r="A98" s="22"/>
      <c r="B98" s="23"/>
      <c r="C98" s="24"/>
      <c r="D98" s="25"/>
      <c r="E98" s="24"/>
      <c r="F98" s="26"/>
      <c r="H98" s="19"/>
      <c r="I98" s="19"/>
      <c r="J98" s="19"/>
      <c r="K98" s="19"/>
      <c r="L98" s="19"/>
      <c r="M98" s="19"/>
      <c r="N98" s="19"/>
      <c r="O98" s="19"/>
      <c r="P98" s="19"/>
      <c r="Q98" s="19"/>
      <c r="R98" s="19"/>
      <c r="S98" s="19"/>
      <c r="T98" s="19"/>
    </row>
    <row r="99" spans="1:20" s="18" customFormat="1" ht="15" customHeight="1">
      <c r="A99" s="22"/>
      <c r="B99" s="23"/>
      <c r="C99" s="24"/>
      <c r="D99" s="25"/>
      <c r="E99" s="24"/>
      <c r="F99" s="26"/>
      <c r="H99" s="19"/>
      <c r="I99" s="19"/>
      <c r="J99" s="19"/>
      <c r="K99" s="19"/>
      <c r="L99" s="19"/>
      <c r="M99" s="19"/>
      <c r="N99" s="19"/>
      <c r="O99" s="19"/>
      <c r="P99" s="19"/>
      <c r="Q99" s="19"/>
      <c r="R99" s="19"/>
      <c r="S99" s="19"/>
      <c r="T99" s="19"/>
    </row>
    <row r="100" spans="1:20" s="18" customFormat="1" ht="15" customHeight="1">
      <c r="A100" s="22"/>
      <c r="B100" s="23"/>
      <c r="C100" s="24"/>
      <c r="D100" s="25"/>
      <c r="E100" s="24"/>
      <c r="F100" s="26"/>
      <c r="H100" s="19"/>
      <c r="I100" s="19"/>
      <c r="J100" s="19"/>
      <c r="K100" s="19"/>
      <c r="L100" s="19"/>
      <c r="M100" s="19"/>
      <c r="N100" s="19"/>
      <c r="O100" s="19"/>
      <c r="P100" s="19"/>
      <c r="Q100" s="19"/>
      <c r="R100" s="19"/>
      <c r="S100" s="19"/>
      <c r="T100" s="19"/>
    </row>
    <row r="101" spans="1:20" s="18" customFormat="1" ht="15" customHeight="1">
      <c r="A101" s="22"/>
      <c r="B101" s="23"/>
      <c r="C101" s="24"/>
      <c r="D101" s="25"/>
      <c r="E101" s="24"/>
      <c r="F101" s="26"/>
      <c r="H101" s="19"/>
      <c r="I101" s="19"/>
      <c r="J101" s="19"/>
      <c r="K101" s="19"/>
      <c r="L101" s="19"/>
      <c r="M101" s="19"/>
      <c r="N101" s="19"/>
      <c r="O101" s="19"/>
      <c r="P101" s="19"/>
      <c r="Q101" s="19"/>
      <c r="R101" s="19"/>
      <c r="S101" s="19"/>
      <c r="T101" s="19"/>
    </row>
    <row r="102" spans="1:20" s="18" customFormat="1" ht="15" customHeight="1">
      <c r="A102" s="22"/>
      <c r="B102" s="23"/>
      <c r="C102" s="24"/>
      <c r="D102" s="25"/>
      <c r="E102" s="24"/>
      <c r="F102" s="26"/>
      <c r="H102" s="19"/>
      <c r="I102" s="19"/>
      <c r="J102" s="19"/>
      <c r="K102" s="19"/>
      <c r="L102" s="19"/>
      <c r="M102" s="19"/>
      <c r="N102" s="19"/>
      <c r="O102" s="19"/>
      <c r="P102" s="19"/>
      <c r="Q102" s="19"/>
      <c r="R102" s="19"/>
      <c r="S102" s="19"/>
      <c r="T102" s="19"/>
    </row>
    <row r="103" spans="1:20" s="18" customFormat="1" ht="15" customHeight="1">
      <c r="A103" s="22"/>
      <c r="B103" s="23"/>
      <c r="C103" s="24"/>
      <c r="D103" s="25"/>
      <c r="E103" s="24"/>
      <c r="F103" s="26"/>
      <c r="H103" s="19"/>
      <c r="I103" s="19"/>
      <c r="J103" s="19"/>
      <c r="K103" s="19"/>
      <c r="L103" s="19"/>
      <c r="M103" s="19"/>
      <c r="N103" s="19"/>
      <c r="O103" s="19"/>
      <c r="P103" s="19"/>
      <c r="Q103" s="19"/>
      <c r="R103" s="19"/>
      <c r="S103" s="19"/>
      <c r="T103" s="19"/>
    </row>
    <row r="104" spans="1:20" s="18" customFormat="1" ht="15" customHeight="1">
      <c r="A104" s="22"/>
      <c r="B104" s="23"/>
      <c r="C104" s="24"/>
      <c r="D104" s="25"/>
      <c r="E104" s="24"/>
      <c r="F104" s="26"/>
      <c r="H104" s="19"/>
      <c r="I104" s="19"/>
      <c r="J104" s="19"/>
      <c r="K104" s="19"/>
      <c r="L104" s="19"/>
      <c r="M104" s="19"/>
      <c r="N104" s="19"/>
      <c r="O104" s="19"/>
      <c r="P104" s="19"/>
      <c r="Q104" s="19"/>
      <c r="R104" s="19"/>
      <c r="S104" s="19"/>
      <c r="T104" s="19"/>
    </row>
    <row r="105" spans="1:20" s="18" customFormat="1" ht="15" customHeight="1">
      <c r="A105" s="22"/>
      <c r="B105" s="23"/>
      <c r="C105" s="24"/>
      <c r="D105" s="25"/>
      <c r="E105" s="24"/>
      <c r="F105" s="26"/>
      <c r="H105" s="19"/>
      <c r="I105" s="19"/>
      <c r="J105" s="19"/>
      <c r="K105" s="19"/>
      <c r="L105" s="19"/>
      <c r="M105" s="19"/>
      <c r="N105" s="19"/>
      <c r="O105" s="19"/>
      <c r="P105" s="19"/>
      <c r="Q105" s="19"/>
      <c r="R105" s="19"/>
      <c r="S105" s="19"/>
      <c r="T105" s="19"/>
    </row>
    <row r="106" spans="1:20" s="18" customFormat="1" ht="15" customHeight="1">
      <c r="A106" s="22"/>
      <c r="B106" s="23"/>
      <c r="C106" s="24"/>
      <c r="D106" s="25"/>
      <c r="E106" s="24"/>
      <c r="F106" s="26"/>
      <c r="H106" s="19"/>
      <c r="I106" s="19"/>
      <c r="J106" s="19"/>
      <c r="K106" s="19"/>
      <c r="L106" s="19"/>
      <c r="M106" s="19"/>
      <c r="N106" s="19"/>
      <c r="O106" s="19"/>
      <c r="P106" s="19"/>
      <c r="Q106" s="19"/>
      <c r="R106" s="19"/>
      <c r="S106" s="19"/>
      <c r="T106" s="19"/>
    </row>
    <row r="107" spans="1:20" s="18" customFormat="1" ht="15" customHeight="1">
      <c r="A107" s="22"/>
      <c r="B107" s="23"/>
      <c r="C107" s="24"/>
      <c r="D107" s="25"/>
      <c r="E107" s="24"/>
      <c r="F107" s="26"/>
      <c r="H107" s="19"/>
      <c r="I107" s="19"/>
      <c r="J107" s="19"/>
      <c r="K107" s="19"/>
      <c r="L107" s="19"/>
      <c r="M107" s="19"/>
      <c r="N107" s="19"/>
      <c r="O107" s="19"/>
      <c r="P107" s="19"/>
      <c r="Q107" s="19"/>
      <c r="R107" s="19"/>
      <c r="S107" s="19"/>
      <c r="T107" s="19"/>
    </row>
    <row r="108" spans="1:20" s="18" customFormat="1" ht="15" customHeight="1">
      <c r="A108" s="22"/>
      <c r="B108" s="23"/>
      <c r="C108" s="24"/>
      <c r="D108" s="25"/>
      <c r="E108" s="24"/>
      <c r="F108" s="26"/>
      <c r="H108" s="19"/>
      <c r="I108" s="19"/>
      <c r="J108" s="19"/>
      <c r="K108" s="19"/>
      <c r="L108" s="19"/>
      <c r="M108" s="19"/>
      <c r="N108" s="19"/>
      <c r="O108" s="19"/>
      <c r="P108" s="19"/>
      <c r="Q108" s="19"/>
      <c r="R108" s="19"/>
      <c r="S108" s="19"/>
      <c r="T108" s="19"/>
    </row>
    <row r="109" spans="1:20" s="18" customFormat="1" ht="15" customHeight="1">
      <c r="A109" s="22"/>
      <c r="B109" s="23"/>
      <c r="C109" s="24"/>
      <c r="D109" s="25"/>
      <c r="E109" s="24"/>
      <c r="F109" s="26"/>
      <c r="H109" s="19"/>
      <c r="I109" s="19"/>
      <c r="J109" s="19"/>
      <c r="K109" s="19"/>
      <c r="L109" s="19"/>
      <c r="M109" s="19"/>
      <c r="N109" s="19"/>
      <c r="O109" s="19"/>
      <c r="P109" s="19"/>
      <c r="Q109" s="19"/>
      <c r="R109" s="19"/>
      <c r="S109" s="19"/>
      <c r="T109" s="19"/>
    </row>
    <row r="110" spans="1:20" s="18" customFormat="1" ht="15" customHeight="1">
      <c r="A110" s="22"/>
      <c r="B110" s="23"/>
      <c r="C110" s="24"/>
      <c r="D110" s="25"/>
      <c r="E110" s="24"/>
      <c r="F110" s="26"/>
      <c r="H110" s="19"/>
      <c r="I110" s="19"/>
      <c r="J110" s="19"/>
      <c r="K110" s="19"/>
      <c r="L110" s="19"/>
      <c r="M110" s="19"/>
      <c r="N110" s="19"/>
      <c r="O110" s="19"/>
      <c r="P110" s="19"/>
      <c r="Q110" s="19"/>
      <c r="R110" s="19"/>
      <c r="S110" s="19"/>
      <c r="T110" s="19"/>
    </row>
    <row r="111" spans="1:20" s="18" customFormat="1" ht="15" customHeight="1">
      <c r="A111" s="22"/>
      <c r="B111" s="23"/>
      <c r="C111" s="24"/>
      <c r="D111" s="25"/>
      <c r="E111" s="24"/>
      <c r="F111" s="26"/>
      <c r="H111" s="19"/>
      <c r="I111" s="19"/>
      <c r="J111" s="19"/>
      <c r="K111" s="19"/>
      <c r="L111" s="19"/>
      <c r="M111" s="19"/>
      <c r="N111" s="19"/>
      <c r="O111" s="19"/>
      <c r="P111" s="19"/>
      <c r="Q111" s="19"/>
      <c r="R111" s="19"/>
      <c r="S111" s="19"/>
      <c r="T111" s="19"/>
    </row>
    <row r="112" spans="1:20" s="18" customFormat="1" ht="15" customHeight="1">
      <c r="A112" s="22"/>
      <c r="B112" s="23"/>
      <c r="C112" s="24"/>
      <c r="D112" s="25"/>
      <c r="E112" s="24"/>
      <c r="F112" s="26"/>
      <c r="H112" s="19"/>
      <c r="I112" s="19"/>
      <c r="J112" s="19"/>
      <c r="K112" s="19"/>
      <c r="L112" s="19"/>
      <c r="M112" s="19"/>
      <c r="N112" s="19"/>
      <c r="O112" s="19"/>
      <c r="P112" s="19"/>
      <c r="Q112" s="19"/>
      <c r="R112" s="19"/>
      <c r="S112" s="19"/>
      <c r="T112" s="19"/>
    </row>
    <row r="113" spans="1:20" s="18" customFormat="1" ht="15" customHeight="1">
      <c r="A113" s="22"/>
      <c r="B113" s="23"/>
      <c r="C113" s="24"/>
      <c r="D113" s="25"/>
      <c r="E113" s="24"/>
      <c r="F113" s="26"/>
      <c r="H113" s="19"/>
      <c r="I113" s="19"/>
      <c r="J113" s="19"/>
      <c r="K113" s="19"/>
      <c r="L113" s="19"/>
      <c r="M113" s="19"/>
      <c r="N113" s="19"/>
      <c r="O113" s="19"/>
      <c r="P113" s="19"/>
      <c r="Q113" s="19"/>
      <c r="R113" s="19"/>
      <c r="S113" s="19"/>
      <c r="T113" s="19"/>
    </row>
    <row r="114" spans="1:20" s="18" customFormat="1" ht="15" customHeight="1">
      <c r="A114" s="22"/>
      <c r="B114" s="23"/>
      <c r="C114" s="24"/>
      <c r="D114" s="25"/>
      <c r="E114" s="24"/>
      <c r="F114" s="26"/>
      <c r="H114" s="19"/>
      <c r="I114" s="19"/>
      <c r="J114" s="19"/>
      <c r="K114" s="19"/>
      <c r="L114" s="19"/>
      <c r="M114" s="19"/>
      <c r="N114" s="19"/>
      <c r="O114" s="19"/>
      <c r="P114" s="19"/>
      <c r="Q114" s="19"/>
      <c r="R114" s="19"/>
      <c r="S114" s="19"/>
      <c r="T114" s="19"/>
    </row>
    <row r="115" spans="1:20" s="18" customFormat="1" ht="15" customHeight="1">
      <c r="A115" s="22"/>
      <c r="B115" s="23"/>
      <c r="C115" s="24"/>
      <c r="D115" s="25"/>
      <c r="E115" s="24"/>
      <c r="F115" s="26"/>
      <c r="H115" s="19"/>
      <c r="I115" s="19"/>
      <c r="J115" s="19"/>
      <c r="K115" s="19"/>
      <c r="L115" s="19"/>
      <c r="M115" s="19"/>
      <c r="N115" s="19"/>
      <c r="O115" s="19"/>
      <c r="P115" s="19"/>
      <c r="Q115" s="19"/>
      <c r="R115" s="19"/>
      <c r="S115" s="19"/>
      <c r="T115" s="19"/>
    </row>
    <row r="116" spans="1:20" s="18" customFormat="1" ht="15" customHeight="1">
      <c r="A116" s="22"/>
      <c r="B116" s="23"/>
      <c r="C116" s="24"/>
      <c r="D116" s="25"/>
      <c r="E116" s="24"/>
      <c r="F116" s="26"/>
      <c r="H116" s="19"/>
      <c r="I116" s="19"/>
      <c r="J116" s="19"/>
      <c r="K116" s="19"/>
      <c r="L116" s="19"/>
      <c r="M116" s="19"/>
      <c r="N116" s="19"/>
      <c r="O116" s="19"/>
      <c r="P116" s="19"/>
      <c r="Q116" s="19"/>
      <c r="R116" s="19"/>
      <c r="S116" s="19"/>
      <c r="T116" s="19"/>
    </row>
    <row r="117" spans="1:20" s="18" customFormat="1" ht="15" customHeight="1">
      <c r="A117" s="22"/>
      <c r="B117" s="23"/>
      <c r="C117" s="24"/>
      <c r="D117" s="25"/>
      <c r="E117" s="24"/>
      <c r="F117" s="26"/>
      <c r="H117" s="19"/>
      <c r="I117" s="19"/>
      <c r="J117" s="19"/>
      <c r="K117" s="19"/>
      <c r="L117" s="19"/>
      <c r="M117" s="19"/>
      <c r="N117" s="19"/>
      <c r="O117" s="19"/>
      <c r="P117" s="19"/>
      <c r="Q117" s="19"/>
      <c r="R117" s="19"/>
      <c r="S117" s="19"/>
      <c r="T117" s="19"/>
    </row>
    <row r="118" spans="1:20" s="18" customFormat="1" ht="15" customHeight="1">
      <c r="A118" s="22"/>
      <c r="B118" s="23"/>
      <c r="C118" s="24"/>
      <c r="D118" s="25"/>
      <c r="E118" s="24"/>
      <c r="F118" s="26"/>
      <c r="H118" s="19"/>
      <c r="I118" s="19"/>
      <c r="J118" s="19"/>
      <c r="K118" s="19"/>
      <c r="L118" s="19"/>
      <c r="M118" s="19"/>
      <c r="N118" s="19"/>
      <c r="O118" s="19"/>
      <c r="P118" s="19"/>
      <c r="Q118" s="19"/>
      <c r="R118" s="19"/>
      <c r="S118" s="19"/>
      <c r="T118" s="19"/>
    </row>
    <row r="119" spans="1:20" s="18" customFormat="1" ht="15" customHeight="1">
      <c r="A119" s="22"/>
      <c r="B119" s="23"/>
      <c r="C119" s="24"/>
      <c r="D119" s="25"/>
      <c r="E119" s="24"/>
      <c r="F119" s="26"/>
      <c r="H119" s="19"/>
      <c r="I119" s="19"/>
      <c r="J119" s="19"/>
      <c r="K119" s="19"/>
      <c r="L119" s="19"/>
      <c r="M119" s="19"/>
      <c r="N119" s="19"/>
      <c r="O119" s="19"/>
      <c r="P119" s="19"/>
      <c r="Q119" s="19"/>
      <c r="R119" s="19"/>
      <c r="S119" s="19"/>
      <c r="T119" s="19"/>
    </row>
    <row r="120" spans="1:20" s="18" customFormat="1" ht="15" customHeight="1">
      <c r="A120" s="22"/>
      <c r="B120" s="23"/>
      <c r="C120" s="24"/>
      <c r="D120" s="25"/>
      <c r="E120" s="24"/>
      <c r="F120" s="26"/>
      <c r="H120" s="19"/>
      <c r="I120" s="19"/>
      <c r="J120" s="19"/>
      <c r="K120" s="19"/>
      <c r="L120" s="19"/>
      <c r="M120" s="19"/>
      <c r="N120" s="19"/>
      <c r="O120" s="19"/>
      <c r="P120" s="19"/>
      <c r="Q120" s="19"/>
      <c r="R120" s="19"/>
      <c r="S120" s="19"/>
      <c r="T120" s="19"/>
    </row>
    <row r="121" spans="1:20" s="18" customFormat="1" ht="15" customHeight="1">
      <c r="A121" s="22"/>
      <c r="B121" s="23"/>
      <c r="C121" s="24"/>
      <c r="D121" s="25"/>
      <c r="E121" s="24"/>
      <c r="F121" s="26"/>
      <c r="H121" s="19"/>
      <c r="I121" s="19"/>
      <c r="J121" s="19"/>
      <c r="K121" s="19"/>
      <c r="L121" s="19"/>
      <c r="M121" s="19"/>
      <c r="N121" s="19"/>
      <c r="O121" s="19"/>
      <c r="P121" s="19"/>
      <c r="Q121" s="19"/>
      <c r="R121" s="19"/>
      <c r="S121" s="19"/>
      <c r="T121" s="19"/>
    </row>
    <row r="122" spans="1:20" s="18" customFormat="1" ht="15" customHeight="1">
      <c r="A122" s="22"/>
      <c r="B122" s="23"/>
      <c r="C122" s="24"/>
      <c r="D122" s="25"/>
      <c r="E122" s="24"/>
      <c r="F122" s="26"/>
      <c r="H122" s="19"/>
      <c r="I122" s="19"/>
      <c r="J122" s="19"/>
      <c r="K122" s="19"/>
      <c r="L122" s="19"/>
      <c r="M122" s="19"/>
      <c r="N122" s="19"/>
      <c r="O122" s="19"/>
      <c r="P122" s="19"/>
      <c r="Q122" s="19"/>
      <c r="R122" s="19"/>
      <c r="S122" s="19"/>
      <c r="T122" s="19"/>
    </row>
    <row r="123" spans="1:20" s="18" customFormat="1" ht="15" customHeight="1">
      <c r="A123" s="22"/>
      <c r="B123" s="23"/>
      <c r="C123" s="24"/>
      <c r="D123" s="25"/>
      <c r="E123" s="24"/>
      <c r="F123" s="26"/>
      <c r="H123" s="19"/>
      <c r="I123" s="19"/>
      <c r="J123" s="19"/>
      <c r="K123" s="19"/>
      <c r="L123" s="19"/>
      <c r="M123" s="19"/>
      <c r="N123" s="19"/>
      <c r="O123" s="19"/>
      <c r="P123" s="19"/>
      <c r="Q123" s="19"/>
      <c r="R123" s="19"/>
      <c r="S123" s="19"/>
      <c r="T123" s="19"/>
    </row>
    <row r="124" spans="1:20" s="18" customFormat="1" ht="15" customHeight="1">
      <c r="A124" s="22"/>
      <c r="B124" s="23"/>
      <c r="C124" s="24"/>
      <c r="D124" s="25"/>
      <c r="E124" s="24"/>
      <c r="F124" s="26"/>
      <c r="H124" s="19"/>
      <c r="I124" s="19"/>
      <c r="J124" s="19"/>
      <c r="K124" s="19"/>
      <c r="L124" s="19"/>
      <c r="M124" s="19"/>
      <c r="N124" s="19"/>
      <c r="O124" s="19"/>
      <c r="P124" s="19"/>
      <c r="Q124" s="19"/>
      <c r="R124" s="19"/>
      <c r="S124" s="19"/>
      <c r="T124" s="19"/>
    </row>
    <row r="125" spans="1:20" s="18" customFormat="1" ht="15" customHeight="1">
      <c r="A125" s="22"/>
      <c r="B125" s="23"/>
      <c r="C125" s="24"/>
      <c r="D125" s="25"/>
      <c r="E125" s="24"/>
      <c r="F125" s="26"/>
      <c r="H125" s="19"/>
      <c r="I125" s="19"/>
      <c r="J125" s="19"/>
      <c r="K125" s="19"/>
      <c r="L125" s="19"/>
      <c r="M125" s="19"/>
      <c r="N125" s="19"/>
      <c r="O125" s="19"/>
      <c r="P125" s="19"/>
      <c r="Q125" s="19"/>
      <c r="R125" s="19"/>
      <c r="S125" s="19"/>
      <c r="T125" s="19"/>
    </row>
    <row r="126" spans="1:20" s="18" customFormat="1" ht="15" customHeight="1">
      <c r="A126" s="22"/>
      <c r="B126" s="23"/>
      <c r="C126" s="24"/>
      <c r="D126" s="25"/>
      <c r="E126" s="24"/>
      <c r="F126" s="26"/>
      <c r="H126" s="19"/>
      <c r="I126" s="19"/>
      <c r="J126" s="19"/>
      <c r="K126" s="19"/>
      <c r="L126" s="19"/>
      <c r="M126" s="19"/>
      <c r="N126" s="19"/>
      <c r="O126" s="19"/>
      <c r="P126" s="19"/>
      <c r="Q126" s="19"/>
      <c r="R126" s="19"/>
      <c r="S126" s="19"/>
      <c r="T126" s="19"/>
    </row>
    <row r="127" spans="1:20" s="18" customFormat="1" ht="15" customHeight="1">
      <c r="A127" s="22"/>
      <c r="B127" s="23"/>
      <c r="C127" s="24"/>
      <c r="D127" s="25"/>
      <c r="E127" s="24"/>
      <c r="F127" s="26"/>
      <c r="H127" s="19"/>
      <c r="I127" s="19"/>
      <c r="J127" s="19"/>
      <c r="K127" s="19"/>
      <c r="L127" s="19"/>
      <c r="M127" s="19"/>
      <c r="N127" s="19"/>
      <c r="O127" s="19"/>
      <c r="P127" s="19"/>
      <c r="Q127" s="19"/>
      <c r="R127" s="19"/>
      <c r="S127" s="19"/>
      <c r="T127" s="19"/>
    </row>
    <row r="128" spans="1:20" s="18" customFormat="1" ht="15" customHeight="1">
      <c r="A128" s="22"/>
      <c r="B128" s="23"/>
      <c r="C128" s="24"/>
      <c r="D128" s="25"/>
      <c r="E128" s="24"/>
      <c r="F128" s="26"/>
      <c r="H128" s="19"/>
      <c r="I128" s="19"/>
      <c r="J128" s="19"/>
      <c r="K128" s="19"/>
      <c r="L128" s="19"/>
      <c r="M128" s="19"/>
      <c r="N128" s="19"/>
      <c r="O128" s="19"/>
      <c r="P128" s="19"/>
      <c r="Q128" s="19"/>
      <c r="R128" s="19"/>
      <c r="S128" s="19"/>
      <c r="T128" s="19"/>
    </row>
    <row r="129" spans="1:20" s="18" customFormat="1" ht="15" customHeight="1">
      <c r="A129" s="22"/>
      <c r="B129" s="23"/>
      <c r="C129" s="24"/>
      <c r="D129" s="25"/>
      <c r="E129" s="24"/>
      <c r="F129" s="26"/>
      <c r="H129" s="19"/>
      <c r="I129" s="19"/>
      <c r="J129" s="19"/>
      <c r="K129" s="19"/>
      <c r="L129" s="19"/>
      <c r="M129" s="19"/>
      <c r="N129" s="19"/>
      <c r="O129" s="19"/>
      <c r="P129" s="19"/>
      <c r="Q129" s="19"/>
      <c r="R129" s="19"/>
      <c r="S129" s="19"/>
      <c r="T129" s="19"/>
    </row>
    <row r="130" spans="1:20" s="18" customFormat="1" ht="15" customHeight="1">
      <c r="A130" s="22"/>
      <c r="B130" s="23"/>
      <c r="C130" s="24"/>
      <c r="D130" s="25"/>
      <c r="E130" s="24"/>
      <c r="F130" s="26"/>
      <c r="H130" s="19"/>
      <c r="I130" s="19"/>
      <c r="J130" s="19"/>
      <c r="K130" s="19"/>
      <c r="L130" s="19"/>
      <c r="M130" s="19"/>
      <c r="N130" s="19"/>
      <c r="O130" s="19"/>
      <c r="P130" s="19"/>
      <c r="Q130" s="19"/>
      <c r="R130" s="19"/>
      <c r="S130" s="19"/>
      <c r="T130" s="19"/>
    </row>
    <row r="131" spans="1:20" s="18" customFormat="1" ht="15" customHeight="1">
      <c r="A131" s="22"/>
      <c r="B131" s="23"/>
      <c r="C131" s="24"/>
      <c r="D131" s="25"/>
      <c r="E131" s="24"/>
      <c r="F131" s="26"/>
      <c r="H131" s="19"/>
      <c r="I131" s="19"/>
      <c r="J131" s="19"/>
      <c r="K131" s="19"/>
      <c r="L131" s="19"/>
      <c r="M131" s="19"/>
      <c r="N131" s="19"/>
      <c r="O131" s="19"/>
      <c r="P131" s="19"/>
      <c r="Q131" s="19"/>
      <c r="R131" s="19"/>
      <c r="S131" s="19"/>
      <c r="T131" s="19"/>
    </row>
    <row r="132" spans="1:20" s="18" customFormat="1" ht="15" customHeight="1">
      <c r="A132" s="22"/>
      <c r="B132" s="23"/>
      <c r="C132" s="24"/>
      <c r="D132" s="25"/>
      <c r="E132" s="24"/>
      <c r="F132" s="26"/>
      <c r="H132" s="19"/>
      <c r="I132" s="19"/>
      <c r="J132" s="19"/>
      <c r="K132" s="19"/>
      <c r="L132" s="19"/>
      <c r="M132" s="19"/>
      <c r="N132" s="19"/>
      <c r="O132" s="19"/>
      <c r="P132" s="19"/>
      <c r="Q132" s="19"/>
      <c r="R132" s="19"/>
      <c r="S132" s="19"/>
      <c r="T132" s="19"/>
    </row>
    <row r="133" spans="1:20" s="18" customFormat="1" ht="15" customHeight="1">
      <c r="A133" s="22"/>
      <c r="B133" s="23"/>
      <c r="C133" s="24"/>
      <c r="D133" s="25"/>
      <c r="E133" s="24"/>
      <c r="F133" s="26"/>
      <c r="H133" s="19"/>
      <c r="I133" s="19"/>
      <c r="J133" s="19"/>
      <c r="K133" s="19"/>
      <c r="L133" s="19"/>
      <c r="M133" s="19"/>
      <c r="N133" s="19"/>
      <c r="O133" s="19"/>
      <c r="P133" s="19"/>
      <c r="Q133" s="19"/>
      <c r="R133" s="19"/>
      <c r="S133" s="19"/>
      <c r="T133" s="19"/>
    </row>
    <row r="134" spans="1:20" s="18" customFormat="1" ht="15" customHeight="1">
      <c r="A134" s="22"/>
      <c r="B134" s="23"/>
      <c r="C134" s="24"/>
      <c r="D134" s="25"/>
      <c r="E134" s="24"/>
      <c r="F134" s="26"/>
      <c r="H134" s="19"/>
      <c r="I134" s="19"/>
      <c r="J134" s="19"/>
      <c r="K134" s="19"/>
      <c r="L134" s="19"/>
      <c r="M134" s="19"/>
      <c r="N134" s="19"/>
      <c r="O134" s="19"/>
      <c r="P134" s="19"/>
      <c r="Q134" s="19"/>
      <c r="R134" s="19"/>
      <c r="S134" s="19"/>
      <c r="T134" s="19"/>
    </row>
    <row r="135" spans="1:20" s="18" customFormat="1" ht="15" customHeight="1">
      <c r="A135" s="22"/>
      <c r="B135" s="23"/>
      <c r="C135" s="24"/>
      <c r="D135" s="25"/>
      <c r="E135" s="24"/>
      <c r="F135" s="26"/>
      <c r="H135" s="19"/>
      <c r="I135" s="19"/>
      <c r="J135" s="19"/>
      <c r="K135" s="19"/>
      <c r="L135" s="19"/>
      <c r="M135" s="19"/>
      <c r="N135" s="19"/>
      <c r="O135" s="19"/>
      <c r="P135" s="19"/>
      <c r="Q135" s="19"/>
      <c r="R135" s="19"/>
      <c r="S135" s="19"/>
      <c r="T135" s="19"/>
    </row>
    <row r="136" spans="1:20" s="18" customFormat="1" ht="15" customHeight="1">
      <c r="A136" s="22"/>
      <c r="B136" s="23"/>
      <c r="C136" s="24"/>
      <c r="D136" s="25"/>
      <c r="E136" s="24"/>
      <c r="F136" s="26"/>
      <c r="H136" s="19"/>
      <c r="I136" s="19"/>
      <c r="J136" s="19"/>
      <c r="K136" s="19"/>
      <c r="L136" s="19"/>
      <c r="M136" s="19"/>
      <c r="N136" s="19"/>
      <c r="O136" s="19"/>
      <c r="P136" s="19"/>
      <c r="Q136" s="19"/>
      <c r="R136" s="19"/>
      <c r="S136" s="19"/>
      <c r="T136" s="19"/>
    </row>
    <row r="137" spans="1:20" s="18" customFormat="1" ht="15" customHeight="1">
      <c r="A137" s="22"/>
      <c r="B137" s="23"/>
      <c r="C137" s="24"/>
      <c r="D137" s="25"/>
      <c r="E137" s="24"/>
      <c r="F137" s="26"/>
      <c r="H137" s="19"/>
      <c r="I137" s="19"/>
      <c r="J137" s="19"/>
      <c r="K137" s="19"/>
      <c r="L137" s="19"/>
      <c r="M137" s="19"/>
      <c r="N137" s="19"/>
      <c r="O137" s="19"/>
      <c r="P137" s="19"/>
      <c r="Q137" s="19"/>
      <c r="R137" s="19"/>
      <c r="S137" s="19"/>
      <c r="T137" s="19"/>
    </row>
    <row r="138" spans="1:20" s="18" customFormat="1" ht="15" customHeight="1">
      <c r="A138" s="22"/>
      <c r="B138" s="23"/>
      <c r="C138" s="24"/>
      <c r="D138" s="25"/>
      <c r="E138" s="24"/>
      <c r="F138" s="26"/>
      <c r="H138" s="19"/>
      <c r="I138" s="19"/>
      <c r="J138" s="19"/>
      <c r="K138" s="19"/>
      <c r="L138" s="19"/>
      <c r="M138" s="19"/>
      <c r="N138" s="19"/>
      <c r="O138" s="19"/>
      <c r="P138" s="19"/>
      <c r="Q138" s="19"/>
      <c r="R138" s="19"/>
      <c r="S138" s="19"/>
      <c r="T138" s="19"/>
    </row>
    <row r="139" spans="1:20" s="18" customFormat="1" ht="15" customHeight="1">
      <c r="A139" s="22"/>
      <c r="B139" s="23"/>
      <c r="C139" s="24"/>
      <c r="D139" s="25"/>
      <c r="E139" s="24"/>
      <c r="F139" s="26"/>
      <c r="H139" s="19"/>
      <c r="I139" s="19"/>
      <c r="J139" s="19"/>
      <c r="K139" s="19"/>
      <c r="L139" s="19"/>
      <c r="M139" s="19"/>
      <c r="N139" s="19"/>
      <c r="O139" s="19"/>
      <c r="P139" s="19"/>
      <c r="Q139" s="19"/>
      <c r="R139" s="19"/>
      <c r="S139" s="19"/>
      <c r="T139" s="19"/>
    </row>
    <row r="140" spans="1:20" s="18" customFormat="1" ht="15" customHeight="1">
      <c r="A140" s="22"/>
      <c r="B140" s="23"/>
      <c r="C140" s="24"/>
      <c r="D140" s="25"/>
      <c r="E140" s="24"/>
      <c r="F140" s="26"/>
      <c r="H140" s="19"/>
      <c r="I140" s="19"/>
      <c r="J140" s="19"/>
      <c r="K140" s="19"/>
      <c r="L140" s="19"/>
      <c r="M140" s="19"/>
      <c r="N140" s="19"/>
      <c r="O140" s="19"/>
      <c r="P140" s="19"/>
      <c r="Q140" s="19"/>
      <c r="R140" s="19"/>
      <c r="S140" s="19"/>
      <c r="T140" s="19"/>
    </row>
    <row r="141" spans="1:20" s="18" customFormat="1" ht="15" customHeight="1">
      <c r="A141" s="22"/>
      <c r="B141" s="23"/>
      <c r="C141" s="24"/>
      <c r="D141" s="25"/>
      <c r="E141" s="24"/>
      <c r="F141" s="26"/>
      <c r="H141" s="19"/>
      <c r="I141" s="19"/>
      <c r="J141" s="19"/>
      <c r="K141" s="19"/>
      <c r="L141" s="19"/>
      <c r="M141" s="19"/>
      <c r="N141" s="19"/>
      <c r="O141" s="19"/>
      <c r="P141" s="19"/>
      <c r="Q141" s="19"/>
      <c r="R141" s="19"/>
      <c r="S141" s="19"/>
      <c r="T141" s="19"/>
    </row>
    <row r="142" spans="1:20" s="18" customFormat="1" ht="15" customHeight="1">
      <c r="A142" s="22"/>
      <c r="B142" s="23"/>
      <c r="C142" s="24"/>
      <c r="D142" s="25"/>
      <c r="E142" s="24"/>
      <c r="F142" s="26"/>
      <c r="H142" s="19"/>
      <c r="I142" s="19"/>
      <c r="J142" s="19"/>
      <c r="K142" s="19"/>
      <c r="L142" s="19"/>
      <c r="M142" s="19"/>
      <c r="N142" s="19"/>
      <c r="O142" s="19"/>
      <c r="P142" s="19"/>
      <c r="Q142" s="19"/>
      <c r="R142" s="19"/>
      <c r="S142" s="19"/>
      <c r="T142" s="19"/>
    </row>
    <row r="143" spans="1:20" s="18" customFormat="1" ht="15" customHeight="1">
      <c r="A143" s="22"/>
      <c r="B143" s="23"/>
      <c r="C143" s="24"/>
      <c r="D143" s="25"/>
      <c r="E143" s="24"/>
      <c r="F143" s="26"/>
      <c r="H143" s="19"/>
      <c r="I143" s="19"/>
      <c r="J143" s="19"/>
      <c r="K143" s="19"/>
      <c r="L143" s="19"/>
      <c r="M143" s="19"/>
      <c r="N143" s="19"/>
      <c r="O143" s="19"/>
      <c r="P143" s="19"/>
      <c r="Q143" s="19"/>
      <c r="R143" s="19"/>
      <c r="S143" s="19"/>
      <c r="T143" s="19"/>
    </row>
    <row r="144" spans="1:20" s="18" customFormat="1" ht="15" customHeight="1">
      <c r="A144" s="22"/>
      <c r="B144" s="23"/>
      <c r="C144" s="24"/>
      <c r="D144" s="25"/>
      <c r="E144" s="24"/>
      <c r="F144" s="26"/>
      <c r="H144" s="19"/>
      <c r="I144" s="19"/>
      <c r="J144" s="19"/>
      <c r="K144" s="19"/>
      <c r="L144" s="19"/>
      <c r="M144" s="19"/>
      <c r="N144" s="19"/>
      <c r="O144" s="19"/>
      <c r="P144" s="19"/>
      <c r="Q144" s="19"/>
      <c r="R144" s="19"/>
      <c r="S144" s="19"/>
      <c r="T144" s="19"/>
    </row>
    <row r="145" spans="1:20" s="18" customFormat="1" ht="15" customHeight="1">
      <c r="A145" s="22"/>
      <c r="B145" s="23"/>
      <c r="C145" s="24"/>
      <c r="D145" s="25"/>
      <c r="E145" s="24"/>
      <c r="F145" s="26"/>
      <c r="H145" s="19"/>
      <c r="I145" s="19"/>
      <c r="J145" s="19"/>
      <c r="K145" s="19"/>
      <c r="L145" s="19"/>
      <c r="M145" s="19"/>
      <c r="N145" s="19"/>
      <c r="O145" s="19"/>
      <c r="P145" s="19"/>
      <c r="Q145" s="19"/>
      <c r="R145" s="19"/>
      <c r="S145" s="19"/>
      <c r="T145" s="19"/>
    </row>
    <row r="146" spans="1:20" s="18" customFormat="1" ht="15" customHeight="1">
      <c r="A146" s="22"/>
      <c r="B146" s="23"/>
      <c r="C146" s="24"/>
      <c r="D146" s="25"/>
      <c r="E146" s="24"/>
      <c r="F146" s="26"/>
      <c r="H146" s="19"/>
      <c r="I146" s="19"/>
      <c r="J146" s="19"/>
      <c r="K146" s="19"/>
      <c r="L146" s="19"/>
      <c r="M146" s="19"/>
      <c r="N146" s="19"/>
      <c r="O146" s="19"/>
      <c r="P146" s="19"/>
      <c r="Q146" s="19"/>
      <c r="R146" s="19"/>
      <c r="S146" s="19"/>
      <c r="T146" s="19"/>
    </row>
    <row r="147" spans="1:20" s="18" customFormat="1" ht="15" customHeight="1">
      <c r="A147" s="22"/>
      <c r="B147" s="23"/>
      <c r="C147" s="24"/>
      <c r="D147" s="25"/>
      <c r="E147" s="24"/>
      <c r="F147" s="26"/>
      <c r="H147" s="19"/>
      <c r="I147" s="19"/>
      <c r="J147" s="19"/>
      <c r="K147" s="19"/>
      <c r="L147" s="19"/>
      <c r="M147" s="19"/>
      <c r="N147" s="19"/>
      <c r="O147" s="19"/>
      <c r="P147" s="19"/>
      <c r="Q147" s="19"/>
      <c r="R147" s="19"/>
      <c r="S147" s="19"/>
      <c r="T147" s="19"/>
    </row>
    <row r="148" spans="1:20" s="18" customFormat="1" ht="15" customHeight="1">
      <c r="A148" s="22"/>
      <c r="B148" s="23"/>
      <c r="C148" s="24"/>
      <c r="D148" s="25"/>
      <c r="E148" s="24"/>
      <c r="F148" s="26"/>
      <c r="H148" s="19"/>
      <c r="I148" s="19"/>
      <c r="J148" s="19"/>
      <c r="K148" s="19"/>
      <c r="L148" s="19"/>
      <c r="M148" s="19"/>
      <c r="N148" s="19"/>
      <c r="O148" s="19"/>
      <c r="P148" s="19"/>
      <c r="Q148" s="19"/>
      <c r="R148" s="19"/>
      <c r="S148" s="19"/>
      <c r="T148" s="19"/>
    </row>
    <row r="149" spans="1:20" s="18" customFormat="1" ht="15" customHeight="1">
      <c r="A149" s="22"/>
      <c r="B149" s="23"/>
      <c r="C149" s="24"/>
      <c r="D149" s="25"/>
      <c r="E149" s="24"/>
      <c r="F149" s="26"/>
      <c r="H149" s="19"/>
      <c r="I149" s="19"/>
      <c r="J149" s="19"/>
      <c r="K149" s="19"/>
      <c r="L149" s="19"/>
      <c r="M149" s="19"/>
      <c r="N149" s="19"/>
      <c r="O149" s="19"/>
      <c r="P149" s="19"/>
      <c r="Q149" s="19"/>
      <c r="R149" s="19"/>
      <c r="S149" s="19"/>
      <c r="T149" s="19"/>
    </row>
    <row r="150" spans="1:20" s="18" customFormat="1" ht="15" customHeight="1">
      <c r="A150" s="22"/>
      <c r="B150" s="23"/>
      <c r="C150" s="24"/>
      <c r="D150" s="25"/>
      <c r="E150" s="24"/>
      <c r="F150" s="26"/>
      <c r="H150" s="19"/>
      <c r="I150" s="19"/>
      <c r="J150" s="19"/>
      <c r="K150" s="19"/>
      <c r="L150" s="19"/>
      <c r="M150" s="19"/>
      <c r="N150" s="19"/>
      <c r="O150" s="19"/>
      <c r="P150" s="19"/>
      <c r="Q150" s="19"/>
      <c r="R150" s="19"/>
      <c r="S150" s="19"/>
      <c r="T150" s="19"/>
    </row>
    <row r="151" spans="1:20" s="18" customFormat="1" ht="15" customHeight="1">
      <c r="A151" s="22"/>
      <c r="B151" s="23"/>
      <c r="C151" s="24"/>
      <c r="D151" s="25"/>
      <c r="E151" s="24"/>
      <c r="F151" s="26"/>
      <c r="H151" s="19"/>
      <c r="I151" s="19"/>
      <c r="J151" s="19"/>
      <c r="K151" s="19"/>
      <c r="L151" s="19"/>
      <c r="M151" s="19"/>
      <c r="N151" s="19"/>
      <c r="O151" s="19"/>
      <c r="P151" s="19"/>
      <c r="Q151" s="19"/>
      <c r="R151" s="19"/>
      <c r="S151" s="19"/>
      <c r="T151" s="19"/>
    </row>
    <row r="152" spans="1:20" s="18" customFormat="1" ht="15" customHeight="1">
      <c r="A152" s="22"/>
      <c r="B152" s="23"/>
      <c r="C152" s="24"/>
      <c r="D152" s="25"/>
      <c r="E152" s="24"/>
      <c r="F152" s="26"/>
      <c r="H152" s="19"/>
      <c r="I152" s="19"/>
      <c r="J152" s="19"/>
      <c r="K152" s="19"/>
      <c r="L152" s="19"/>
      <c r="M152" s="19"/>
      <c r="N152" s="19"/>
      <c r="O152" s="19"/>
      <c r="P152" s="19"/>
      <c r="Q152" s="19"/>
      <c r="R152" s="19"/>
      <c r="S152" s="19"/>
      <c r="T152" s="19"/>
    </row>
    <row r="153" spans="1:20" s="18" customFormat="1" ht="15" customHeight="1">
      <c r="A153" s="22"/>
      <c r="B153" s="23"/>
      <c r="C153" s="24"/>
      <c r="D153" s="25"/>
      <c r="E153" s="24"/>
      <c r="F153" s="26"/>
      <c r="H153" s="19"/>
      <c r="I153" s="19"/>
      <c r="J153" s="19"/>
      <c r="K153" s="19"/>
      <c r="L153" s="19"/>
      <c r="M153" s="19"/>
      <c r="N153" s="19"/>
      <c r="O153" s="19"/>
      <c r="P153" s="19"/>
      <c r="Q153" s="19"/>
      <c r="R153" s="19"/>
      <c r="S153" s="19"/>
      <c r="T153" s="19"/>
    </row>
    <row r="154" spans="1:20" s="18" customFormat="1" ht="15" customHeight="1">
      <c r="A154" s="22"/>
      <c r="B154" s="23"/>
      <c r="C154" s="24"/>
      <c r="D154" s="25"/>
      <c r="E154" s="24"/>
      <c r="F154" s="26"/>
      <c r="H154" s="19"/>
      <c r="I154" s="19"/>
      <c r="J154" s="19"/>
      <c r="K154" s="19"/>
      <c r="L154" s="19"/>
      <c r="M154" s="19"/>
      <c r="N154" s="19"/>
      <c r="O154" s="19"/>
      <c r="P154" s="19"/>
      <c r="Q154" s="19"/>
      <c r="R154" s="19"/>
      <c r="S154" s="19"/>
      <c r="T154" s="19"/>
    </row>
    <row r="155" spans="1:20" s="18" customFormat="1" ht="15" customHeight="1">
      <c r="A155" s="22"/>
      <c r="B155" s="23"/>
      <c r="C155" s="24"/>
      <c r="D155" s="25"/>
      <c r="E155" s="24"/>
      <c r="F155" s="26"/>
      <c r="H155" s="19"/>
      <c r="I155" s="19"/>
      <c r="J155" s="19"/>
      <c r="K155" s="19"/>
      <c r="L155" s="19"/>
      <c r="M155" s="19"/>
      <c r="N155" s="19"/>
      <c r="O155" s="19"/>
      <c r="P155" s="19"/>
      <c r="Q155" s="19"/>
      <c r="R155" s="19"/>
      <c r="S155" s="19"/>
      <c r="T155" s="19"/>
    </row>
    <row r="156" spans="1:20" s="18" customFormat="1" ht="15" customHeight="1">
      <c r="A156" s="22"/>
      <c r="B156" s="23"/>
      <c r="C156" s="24"/>
      <c r="D156" s="25"/>
      <c r="E156" s="24"/>
      <c r="F156" s="26"/>
      <c r="H156" s="19"/>
      <c r="I156" s="19"/>
      <c r="J156" s="19"/>
      <c r="K156" s="19"/>
      <c r="L156" s="19"/>
      <c r="M156" s="19"/>
      <c r="N156" s="19"/>
      <c r="O156" s="19"/>
      <c r="P156" s="19"/>
      <c r="Q156" s="19"/>
      <c r="R156" s="19"/>
      <c r="S156" s="19"/>
      <c r="T156" s="19"/>
    </row>
    <row r="157" spans="1:20" s="18" customFormat="1" ht="15" customHeight="1">
      <c r="A157" s="22"/>
      <c r="B157" s="23"/>
      <c r="C157" s="24"/>
      <c r="D157" s="25"/>
      <c r="E157" s="24"/>
      <c r="F157" s="26"/>
      <c r="H157" s="19"/>
      <c r="I157" s="19"/>
      <c r="J157" s="19"/>
      <c r="K157" s="19"/>
      <c r="L157" s="19"/>
      <c r="M157" s="19"/>
      <c r="N157" s="19"/>
      <c r="O157" s="19"/>
      <c r="P157" s="19"/>
      <c r="Q157" s="19"/>
      <c r="R157" s="19"/>
      <c r="S157" s="19"/>
      <c r="T157" s="19"/>
    </row>
    <row r="158" spans="1:20" s="18" customFormat="1" ht="15" customHeight="1">
      <c r="A158" s="22"/>
      <c r="B158" s="23"/>
      <c r="C158" s="24"/>
      <c r="D158" s="25"/>
      <c r="E158" s="24"/>
      <c r="F158" s="26"/>
      <c r="H158" s="19"/>
      <c r="I158" s="19"/>
      <c r="J158" s="19"/>
      <c r="K158" s="19"/>
      <c r="L158" s="19"/>
      <c r="M158" s="19"/>
      <c r="N158" s="19"/>
      <c r="O158" s="19"/>
      <c r="P158" s="19"/>
      <c r="Q158" s="19"/>
      <c r="R158" s="19"/>
      <c r="S158" s="19"/>
      <c r="T158" s="19"/>
    </row>
    <row r="159" spans="1:20" s="18" customFormat="1" ht="15" customHeight="1">
      <c r="A159" s="22"/>
      <c r="B159" s="23"/>
      <c r="C159" s="24"/>
      <c r="D159" s="25"/>
      <c r="E159" s="24"/>
      <c r="F159" s="26"/>
      <c r="H159" s="19"/>
      <c r="I159" s="19"/>
      <c r="J159" s="19"/>
      <c r="K159" s="19"/>
      <c r="L159" s="19"/>
      <c r="M159" s="19"/>
      <c r="N159" s="19"/>
      <c r="O159" s="19"/>
      <c r="P159" s="19"/>
      <c r="Q159" s="19"/>
      <c r="R159" s="19"/>
      <c r="S159" s="19"/>
      <c r="T159" s="19"/>
    </row>
    <row r="160" spans="1:20" s="18" customFormat="1" ht="15" customHeight="1">
      <c r="A160" s="22"/>
      <c r="B160" s="23"/>
      <c r="C160" s="24"/>
      <c r="D160" s="25"/>
      <c r="E160" s="24"/>
      <c r="F160" s="26"/>
      <c r="H160" s="19"/>
      <c r="I160" s="19"/>
      <c r="J160" s="19"/>
      <c r="K160" s="19"/>
      <c r="L160" s="19"/>
      <c r="M160" s="19"/>
      <c r="N160" s="19"/>
      <c r="O160" s="19"/>
      <c r="P160" s="19"/>
      <c r="Q160" s="19"/>
      <c r="R160" s="19"/>
      <c r="S160" s="19"/>
      <c r="T160" s="19"/>
    </row>
    <row r="161" spans="1:20" s="18" customFormat="1" ht="15" customHeight="1">
      <c r="A161" s="22"/>
      <c r="B161" s="23"/>
      <c r="C161" s="24"/>
      <c r="D161" s="25"/>
      <c r="E161" s="24"/>
      <c r="F161" s="26"/>
      <c r="H161" s="19"/>
      <c r="I161" s="19"/>
      <c r="J161" s="19"/>
      <c r="K161" s="19"/>
      <c r="L161" s="19"/>
      <c r="M161" s="19"/>
      <c r="N161" s="19"/>
      <c r="O161" s="19"/>
      <c r="P161" s="19"/>
      <c r="Q161" s="19"/>
      <c r="R161" s="19"/>
      <c r="S161" s="19"/>
      <c r="T161" s="19"/>
    </row>
    <row r="162" spans="1:20" s="18" customFormat="1" ht="15" customHeight="1">
      <c r="A162" s="22"/>
      <c r="B162" s="23"/>
      <c r="C162" s="24"/>
      <c r="D162" s="25"/>
      <c r="E162" s="24"/>
      <c r="F162" s="26"/>
      <c r="H162" s="19"/>
      <c r="I162" s="19"/>
      <c r="J162" s="19"/>
      <c r="K162" s="19"/>
      <c r="L162" s="19"/>
      <c r="M162" s="19"/>
      <c r="N162" s="19"/>
      <c r="O162" s="19"/>
      <c r="P162" s="19"/>
      <c r="Q162" s="19"/>
      <c r="R162" s="19"/>
      <c r="S162" s="19"/>
      <c r="T162" s="19"/>
    </row>
    <row r="163" spans="1:20" s="18" customFormat="1" ht="15" customHeight="1">
      <c r="A163" s="22"/>
      <c r="B163" s="23"/>
      <c r="C163" s="24"/>
      <c r="D163" s="25"/>
      <c r="E163" s="24"/>
      <c r="F163" s="26"/>
      <c r="H163" s="19"/>
      <c r="I163" s="19"/>
      <c r="J163" s="19"/>
      <c r="K163" s="19"/>
      <c r="L163" s="19"/>
      <c r="M163" s="19"/>
      <c r="N163" s="19"/>
      <c r="O163" s="19"/>
      <c r="P163" s="19"/>
      <c r="Q163" s="19"/>
      <c r="R163" s="19"/>
      <c r="S163" s="19"/>
      <c r="T163" s="19"/>
    </row>
    <row r="164" spans="1:20" s="18" customFormat="1" ht="15" customHeight="1">
      <c r="A164" s="22"/>
      <c r="B164" s="23"/>
      <c r="C164" s="24"/>
      <c r="D164" s="25"/>
      <c r="E164" s="24"/>
      <c r="F164" s="26"/>
      <c r="H164" s="19"/>
      <c r="I164" s="19"/>
      <c r="J164" s="19"/>
      <c r="K164" s="19"/>
      <c r="L164" s="19"/>
      <c r="M164" s="19"/>
      <c r="N164" s="19"/>
      <c r="O164" s="19"/>
      <c r="P164" s="19"/>
      <c r="Q164" s="19"/>
      <c r="R164" s="19"/>
      <c r="S164" s="19"/>
      <c r="T164" s="19"/>
    </row>
    <row r="165" spans="1:20" s="18" customFormat="1" ht="15" customHeight="1">
      <c r="A165" s="22"/>
      <c r="B165" s="23"/>
      <c r="C165" s="24"/>
      <c r="D165" s="25"/>
      <c r="E165" s="24"/>
      <c r="F165" s="26"/>
      <c r="H165" s="19"/>
      <c r="I165" s="19"/>
      <c r="J165" s="19"/>
      <c r="K165" s="19"/>
      <c r="L165" s="19"/>
      <c r="M165" s="19"/>
      <c r="N165" s="19"/>
      <c r="O165" s="19"/>
      <c r="P165" s="19"/>
      <c r="Q165" s="19"/>
      <c r="R165" s="19"/>
      <c r="S165" s="19"/>
      <c r="T165" s="19"/>
    </row>
    <row r="166" spans="1:20" s="18" customFormat="1" ht="15" customHeight="1">
      <c r="A166" s="22"/>
      <c r="B166" s="23"/>
      <c r="C166" s="24"/>
      <c r="D166" s="25"/>
      <c r="E166" s="24"/>
      <c r="F166" s="26"/>
      <c r="H166" s="19"/>
      <c r="I166" s="19"/>
      <c r="J166" s="19"/>
      <c r="K166" s="19"/>
      <c r="L166" s="19"/>
      <c r="M166" s="19"/>
      <c r="N166" s="19"/>
      <c r="O166" s="19"/>
      <c r="P166" s="19"/>
      <c r="Q166" s="19"/>
      <c r="R166" s="19"/>
      <c r="S166" s="19"/>
      <c r="T166" s="19"/>
    </row>
    <row r="167" spans="1:20" s="18" customFormat="1" ht="15" customHeight="1">
      <c r="A167" s="22"/>
      <c r="B167" s="23"/>
      <c r="C167" s="24"/>
      <c r="D167" s="25"/>
      <c r="E167" s="24"/>
      <c r="F167" s="26"/>
      <c r="H167" s="19"/>
      <c r="I167" s="19"/>
      <c r="J167" s="19"/>
      <c r="K167" s="19"/>
      <c r="L167" s="19"/>
      <c r="M167" s="19"/>
      <c r="N167" s="19"/>
      <c r="O167" s="19"/>
      <c r="P167" s="19"/>
      <c r="Q167" s="19"/>
      <c r="R167" s="19"/>
      <c r="S167" s="19"/>
      <c r="T167" s="19"/>
    </row>
    <row r="168" spans="1:20" s="18" customFormat="1" ht="15" customHeight="1">
      <c r="A168" s="22"/>
      <c r="B168" s="23"/>
      <c r="C168" s="24"/>
      <c r="D168" s="25"/>
      <c r="E168" s="24"/>
      <c r="F168" s="26"/>
      <c r="H168" s="19"/>
      <c r="I168" s="19"/>
      <c r="J168" s="19"/>
      <c r="K168" s="19"/>
      <c r="L168" s="19"/>
      <c r="M168" s="19"/>
      <c r="N168" s="19"/>
      <c r="O168" s="19"/>
      <c r="P168" s="19"/>
      <c r="Q168" s="19"/>
      <c r="R168" s="19"/>
      <c r="S168" s="19"/>
      <c r="T168" s="19"/>
    </row>
    <row r="169" spans="1:20" s="18" customFormat="1" ht="15" customHeight="1">
      <c r="A169" s="22"/>
      <c r="B169" s="23"/>
      <c r="C169" s="24"/>
      <c r="D169" s="25"/>
      <c r="E169" s="24"/>
      <c r="F169" s="26"/>
      <c r="H169" s="19"/>
      <c r="I169" s="19"/>
      <c r="J169" s="19"/>
      <c r="K169" s="19"/>
      <c r="L169" s="19"/>
      <c r="M169" s="19"/>
      <c r="N169" s="19"/>
      <c r="O169" s="19"/>
      <c r="P169" s="19"/>
      <c r="Q169" s="19"/>
      <c r="R169" s="19"/>
      <c r="S169" s="19"/>
      <c r="T169" s="19"/>
    </row>
    <row r="170" spans="1:20" s="18" customFormat="1" ht="15" customHeight="1">
      <c r="A170" s="22"/>
      <c r="B170" s="23"/>
      <c r="C170" s="24"/>
      <c r="D170" s="25"/>
      <c r="E170" s="24"/>
      <c r="F170" s="26"/>
      <c r="H170" s="19"/>
      <c r="I170" s="19"/>
      <c r="J170" s="19"/>
      <c r="K170" s="19"/>
      <c r="L170" s="19"/>
      <c r="M170" s="19"/>
      <c r="N170" s="19"/>
      <c r="O170" s="19"/>
      <c r="P170" s="19"/>
      <c r="Q170" s="19"/>
      <c r="R170" s="19"/>
      <c r="S170" s="19"/>
      <c r="T170" s="19"/>
    </row>
    <row r="171" spans="1:20" s="18" customFormat="1" ht="15" customHeight="1">
      <c r="A171" s="22"/>
      <c r="B171" s="23"/>
      <c r="C171" s="24"/>
      <c r="D171" s="25"/>
      <c r="E171" s="24"/>
      <c r="F171" s="26"/>
      <c r="H171" s="19"/>
      <c r="I171" s="19"/>
      <c r="J171" s="19"/>
      <c r="K171" s="19"/>
      <c r="L171" s="19"/>
      <c r="M171" s="19"/>
      <c r="N171" s="19"/>
      <c r="O171" s="19"/>
      <c r="P171" s="19"/>
      <c r="Q171" s="19"/>
      <c r="R171" s="19"/>
      <c r="S171" s="19"/>
      <c r="T171" s="19"/>
    </row>
    <row r="172" spans="1:20" s="18" customFormat="1" ht="15" customHeight="1">
      <c r="A172" s="22"/>
      <c r="B172" s="23"/>
      <c r="C172" s="24"/>
      <c r="D172" s="25"/>
      <c r="E172" s="24"/>
      <c r="F172" s="26"/>
      <c r="H172" s="19"/>
      <c r="I172" s="19"/>
      <c r="J172" s="19"/>
      <c r="K172" s="19"/>
      <c r="L172" s="19"/>
      <c r="M172" s="19"/>
      <c r="N172" s="19"/>
      <c r="O172" s="19"/>
      <c r="P172" s="19"/>
      <c r="Q172" s="19"/>
      <c r="R172" s="19"/>
      <c r="S172" s="19"/>
      <c r="T172" s="19"/>
    </row>
    <row r="173" spans="1:20" s="18" customFormat="1" ht="15" customHeight="1">
      <c r="A173" s="22"/>
      <c r="B173" s="23"/>
      <c r="C173" s="24"/>
      <c r="D173" s="25"/>
      <c r="E173" s="24"/>
      <c r="F173" s="26"/>
      <c r="H173" s="19"/>
      <c r="I173" s="19"/>
      <c r="J173" s="19"/>
      <c r="K173" s="19"/>
      <c r="L173" s="19"/>
      <c r="M173" s="19"/>
      <c r="N173" s="19"/>
      <c r="O173" s="19"/>
      <c r="P173" s="19"/>
      <c r="Q173" s="19"/>
      <c r="R173" s="19"/>
      <c r="S173" s="19"/>
      <c r="T173" s="19"/>
    </row>
    <row r="174" spans="1:20" s="18" customFormat="1" ht="15" customHeight="1">
      <c r="A174" s="22"/>
      <c r="B174" s="23"/>
      <c r="C174" s="24"/>
      <c r="D174" s="25"/>
      <c r="E174" s="24"/>
      <c r="F174" s="26"/>
      <c r="H174" s="19"/>
      <c r="I174" s="19"/>
      <c r="J174" s="19"/>
      <c r="K174" s="19"/>
      <c r="L174" s="19"/>
      <c r="M174" s="19"/>
      <c r="N174" s="19"/>
      <c r="O174" s="19"/>
      <c r="P174" s="19"/>
      <c r="Q174" s="19"/>
      <c r="R174" s="19"/>
      <c r="S174" s="19"/>
      <c r="T174" s="19"/>
    </row>
    <row r="175" spans="1:20" s="18" customFormat="1" ht="15" customHeight="1">
      <c r="A175" s="22"/>
      <c r="B175" s="23"/>
      <c r="C175" s="24"/>
      <c r="D175" s="25"/>
      <c r="E175" s="24"/>
      <c r="F175" s="26"/>
      <c r="H175" s="19"/>
      <c r="I175" s="19"/>
      <c r="J175" s="19"/>
      <c r="K175" s="19"/>
      <c r="L175" s="19"/>
      <c r="M175" s="19"/>
      <c r="N175" s="19"/>
      <c r="O175" s="19"/>
      <c r="P175" s="19"/>
      <c r="Q175" s="19"/>
      <c r="R175" s="19"/>
      <c r="S175" s="19"/>
      <c r="T175" s="19"/>
    </row>
    <row r="176" spans="1:20" s="18" customFormat="1" ht="15" customHeight="1">
      <c r="A176" s="22"/>
      <c r="B176" s="23"/>
      <c r="C176" s="24"/>
      <c r="D176" s="25"/>
      <c r="E176" s="24"/>
      <c r="F176" s="26"/>
      <c r="H176" s="19"/>
      <c r="I176" s="19"/>
      <c r="J176" s="19"/>
      <c r="K176" s="19"/>
      <c r="L176" s="19"/>
      <c r="M176" s="19"/>
      <c r="N176" s="19"/>
      <c r="O176" s="19"/>
      <c r="P176" s="19"/>
      <c r="Q176" s="19"/>
      <c r="R176" s="19"/>
      <c r="S176" s="19"/>
      <c r="T176" s="19"/>
    </row>
    <row r="177" spans="1:20" s="18" customFormat="1" ht="15" customHeight="1">
      <c r="A177" s="22"/>
      <c r="B177" s="23"/>
      <c r="C177" s="24"/>
      <c r="D177" s="25"/>
      <c r="E177" s="24"/>
      <c r="F177" s="26"/>
      <c r="H177" s="19"/>
      <c r="I177" s="19"/>
      <c r="J177" s="19"/>
      <c r="K177" s="19"/>
      <c r="L177" s="19"/>
      <c r="M177" s="19"/>
      <c r="N177" s="19"/>
      <c r="O177" s="19"/>
      <c r="P177" s="19"/>
      <c r="Q177" s="19"/>
      <c r="R177" s="19"/>
      <c r="S177" s="19"/>
      <c r="T177" s="19"/>
    </row>
    <row r="178" spans="1:20" s="18" customFormat="1" ht="15" customHeight="1">
      <c r="A178" s="22"/>
      <c r="B178" s="23"/>
      <c r="C178" s="24"/>
      <c r="D178" s="25"/>
      <c r="E178" s="24"/>
      <c r="F178" s="26"/>
      <c r="H178" s="19"/>
      <c r="I178" s="19"/>
      <c r="J178" s="19"/>
      <c r="K178" s="19"/>
      <c r="L178" s="19"/>
      <c r="M178" s="19"/>
      <c r="N178" s="19"/>
      <c r="O178" s="19"/>
      <c r="P178" s="19"/>
      <c r="Q178" s="19"/>
      <c r="R178" s="19"/>
      <c r="S178" s="19"/>
      <c r="T178" s="19"/>
    </row>
    <row r="179" spans="1:20" s="18" customFormat="1" ht="15" customHeight="1">
      <c r="A179" s="22"/>
      <c r="B179" s="23"/>
      <c r="C179" s="24"/>
      <c r="D179" s="25"/>
      <c r="E179" s="24"/>
      <c r="F179" s="26"/>
      <c r="H179" s="19"/>
      <c r="I179" s="19"/>
      <c r="J179" s="19"/>
      <c r="K179" s="19"/>
      <c r="L179" s="19"/>
      <c r="M179" s="19"/>
      <c r="N179" s="19"/>
      <c r="O179" s="19"/>
      <c r="P179" s="19"/>
      <c r="Q179" s="19"/>
      <c r="R179" s="19"/>
      <c r="S179" s="19"/>
      <c r="T179" s="19"/>
    </row>
    <row r="180" spans="1:20" s="18" customFormat="1" ht="15" customHeight="1">
      <c r="A180" s="22"/>
      <c r="B180" s="23"/>
      <c r="C180" s="24"/>
      <c r="D180" s="25"/>
      <c r="E180" s="24"/>
      <c r="F180" s="26"/>
      <c r="H180" s="19"/>
      <c r="I180" s="19"/>
      <c r="J180" s="19"/>
      <c r="K180" s="19"/>
      <c r="L180" s="19"/>
      <c r="M180" s="19"/>
      <c r="N180" s="19"/>
      <c r="O180" s="19"/>
      <c r="P180" s="19"/>
      <c r="Q180" s="19"/>
      <c r="R180" s="19"/>
      <c r="S180" s="19"/>
      <c r="T180" s="19"/>
    </row>
    <row r="181" spans="1:20" s="18" customFormat="1" ht="15" customHeight="1">
      <c r="A181" s="22"/>
      <c r="B181" s="23"/>
      <c r="C181" s="24"/>
      <c r="D181" s="25"/>
      <c r="E181" s="24"/>
      <c r="F181" s="26"/>
      <c r="H181" s="19"/>
      <c r="I181" s="19"/>
      <c r="J181" s="19"/>
      <c r="K181" s="19"/>
      <c r="L181" s="19"/>
      <c r="M181" s="19"/>
      <c r="N181" s="19"/>
      <c r="O181" s="19"/>
      <c r="P181" s="19"/>
      <c r="Q181" s="19"/>
      <c r="R181" s="19"/>
      <c r="S181" s="19"/>
      <c r="T181" s="19"/>
    </row>
    <row r="182" spans="1:20" s="18" customFormat="1" ht="15" customHeight="1">
      <c r="A182" s="22"/>
      <c r="B182" s="23"/>
      <c r="C182" s="24"/>
      <c r="D182" s="25"/>
      <c r="E182" s="24"/>
      <c r="F182" s="26"/>
      <c r="H182" s="19"/>
      <c r="I182" s="19"/>
      <c r="J182" s="19"/>
      <c r="K182" s="19"/>
      <c r="L182" s="19"/>
      <c r="M182" s="19"/>
      <c r="N182" s="19"/>
      <c r="O182" s="19"/>
      <c r="P182" s="19"/>
      <c r="Q182" s="19"/>
      <c r="R182" s="19"/>
      <c r="S182" s="19"/>
      <c r="T182" s="19"/>
    </row>
    <row r="183" spans="1:20" s="18" customFormat="1" ht="15" customHeight="1">
      <c r="A183" s="22"/>
      <c r="B183" s="23"/>
      <c r="C183" s="24"/>
      <c r="D183" s="25"/>
      <c r="E183" s="24"/>
      <c r="F183" s="26"/>
      <c r="H183" s="19"/>
      <c r="I183" s="19"/>
      <c r="J183" s="19"/>
      <c r="K183" s="19"/>
      <c r="L183" s="19"/>
      <c r="M183" s="19"/>
      <c r="N183" s="19"/>
      <c r="O183" s="19"/>
      <c r="P183" s="19"/>
      <c r="Q183" s="19"/>
      <c r="R183" s="19"/>
      <c r="S183" s="19"/>
      <c r="T183" s="19"/>
    </row>
    <row r="184" spans="1:20" s="18" customFormat="1" ht="15" customHeight="1">
      <c r="A184" s="22"/>
      <c r="B184" s="23"/>
      <c r="C184" s="24"/>
      <c r="D184" s="25"/>
      <c r="E184" s="24"/>
      <c r="F184" s="26"/>
      <c r="H184" s="19"/>
      <c r="I184" s="19"/>
      <c r="J184" s="19"/>
      <c r="K184" s="19"/>
      <c r="L184" s="19"/>
      <c r="M184" s="19"/>
      <c r="N184" s="19"/>
      <c r="O184" s="19"/>
      <c r="P184" s="19"/>
      <c r="Q184" s="19"/>
      <c r="R184" s="19"/>
      <c r="S184" s="19"/>
      <c r="T184" s="19"/>
    </row>
    <row r="185" spans="1:20" s="18" customFormat="1" ht="15" customHeight="1">
      <c r="A185" s="22"/>
      <c r="B185" s="23"/>
      <c r="C185" s="24"/>
      <c r="D185" s="25"/>
      <c r="E185" s="24"/>
      <c r="F185" s="26"/>
      <c r="H185" s="19"/>
      <c r="I185" s="19"/>
      <c r="J185" s="19"/>
      <c r="K185" s="19"/>
      <c r="L185" s="19"/>
      <c r="M185" s="19"/>
      <c r="N185" s="19"/>
      <c r="O185" s="19"/>
      <c r="P185" s="19"/>
      <c r="Q185" s="19"/>
      <c r="R185" s="19"/>
      <c r="S185" s="19"/>
      <c r="T185" s="19"/>
    </row>
    <row r="186" spans="1:20" s="18" customFormat="1" ht="15" customHeight="1">
      <c r="A186" s="22"/>
      <c r="B186" s="23"/>
      <c r="C186" s="24"/>
      <c r="D186" s="25"/>
      <c r="E186" s="24"/>
      <c r="F186" s="26"/>
      <c r="H186" s="19"/>
      <c r="I186" s="19"/>
      <c r="J186" s="19"/>
      <c r="K186" s="19"/>
      <c r="L186" s="19"/>
      <c r="M186" s="19"/>
      <c r="N186" s="19"/>
      <c r="O186" s="19"/>
      <c r="P186" s="19"/>
      <c r="Q186" s="19"/>
      <c r="R186" s="19"/>
      <c r="S186" s="19"/>
      <c r="T186" s="19"/>
    </row>
    <row r="187" spans="1:20" s="18" customFormat="1" ht="15" customHeight="1">
      <c r="A187" s="22"/>
      <c r="B187" s="23"/>
      <c r="C187" s="24"/>
      <c r="D187" s="25"/>
      <c r="E187" s="24"/>
      <c r="F187" s="26"/>
      <c r="H187" s="19"/>
      <c r="I187" s="19"/>
      <c r="J187" s="19"/>
      <c r="K187" s="19"/>
      <c r="L187" s="19"/>
      <c r="M187" s="19"/>
      <c r="N187" s="19"/>
      <c r="O187" s="19"/>
      <c r="P187" s="19"/>
      <c r="Q187" s="19"/>
      <c r="R187" s="19"/>
      <c r="S187" s="19"/>
      <c r="T187" s="19"/>
    </row>
    <row r="188" spans="1:20" s="18" customFormat="1" ht="15" customHeight="1">
      <c r="A188" s="22"/>
      <c r="B188" s="23"/>
      <c r="C188" s="24"/>
      <c r="D188" s="25"/>
      <c r="E188" s="24"/>
      <c r="F188" s="26"/>
      <c r="H188" s="19"/>
      <c r="I188" s="19"/>
      <c r="J188" s="19"/>
      <c r="K188" s="19"/>
      <c r="L188" s="19"/>
      <c r="M188" s="19"/>
      <c r="N188" s="19"/>
      <c r="O188" s="19"/>
      <c r="P188" s="19"/>
      <c r="Q188" s="19"/>
      <c r="R188" s="19"/>
      <c r="S188" s="19"/>
      <c r="T188" s="19"/>
    </row>
    <row r="189" spans="1:20" s="18" customFormat="1" ht="15" customHeight="1">
      <c r="A189" s="22"/>
      <c r="B189" s="23"/>
      <c r="C189" s="24"/>
      <c r="D189" s="25"/>
      <c r="E189" s="24"/>
      <c r="F189" s="26"/>
      <c r="H189" s="19"/>
      <c r="I189" s="19"/>
      <c r="J189" s="19"/>
      <c r="K189" s="19"/>
      <c r="L189" s="19"/>
      <c r="M189" s="19"/>
      <c r="N189" s="19"/>
      <c r="O189" s="19"/>
      <c r="P189" s="19"/>
      <c r="Q189" s="19"/>
      <c r="R189" s="19"/>
      <c r="S189" s="19"/>
      <c r="T189" s="19"/>
    </row>
    <row r="190" spans="1:20" s="18" customFormat="1" ht="15" customHeight="1">
      <c r="A190" s="22"/>
      <c r="B190" s="23"/>
      <c r="C190" s="24"/>
      <c r="D190" s="25"/>
      <c r="E190" s="24"/>
      <c r="F190" s="26"/>
      <c r="H190" s="19"/>
      <c r="I190" s="19"/>
      <c r="J190" s="19"/>
      <c r="K190" s="19"/>
      <c r="L190" s="19"/>
      <c r="M190" s="19"/>
      <c r="N190" s="19"/>
      <c r="O190" s="19"/>
      <c r="P190" s="19"/>
      <c r="Q190" s="19"/>
      <c r="R190" s="19"/>
      <c r="S190" s="19"/>
      <c r="T190" s="19"/>
    </row>
    <row r="191" spans="1:20" s="18" customFormat="1" ht="15" customHeight="1">
      <c r="A191" s="22"/>
      <c r="B191" s="23"/>
      <c r="C191" s="24"/>
      <c r="D191" s="25"/>
      <c r="E191" s="24"/>
      <c r="F191" s="26"/>
      <c r="H191" s="19"/>
      <c r="I191" s="19"/>
      <c r="J191" s="19"/>
      <c r="K191" s="19"/>
      <c r="L191" s="19"/>
      <c r="M191" s="19"/>
      <c r="N191" s="19"/>
      <c r="O191" s="19"/>
      <c r="P191" s="19"/>
      <c r="Q191" s="19"/>
      <c r="R191" s="19"/>
      <c r="S191" s="19"/>
      <c r="T191" s="19"/>
    </row>
    <row r="192" spans="1:20" s="18" customFormat="1" ht="15" customHeight="1">
      <c r="A192" s="22"/>
      <c r="B192" s="23"/>
      <c r="C192" s="24"/>
      <c r="D192" s="25"/>
      <c r="E192" s="24"/>
      <c r="F192" s="26"/>
      <c r="H192" s="19"/>
      <c r="I192" s="19"/>
      <c r="J192" s="19"/>
      <c r="K192" s="19"/>
      <c r="L192" s="19"/>
      <c r="M192" s="19"/>
      <c r="N192" s="19"/>
      <c r="O192" s="19"/>
      <c r="P192" s="19"/>
      <c r="Q192" s="19"/>
      <c r="R192" s="19"/>
      <c r="S192" s="19"/>
      <c r="T192" s="19"/>
    </row>
    <row r="193" spans="1:20" s="18" customFormat="1" ht="15" customHeight="1">
      <c r="A193" s="22"/>
      <c r="B193" s="23"/>
      <c r="C193" s="24"/>
      <c r="D193" s="25"/>
      <c r="E193" s="24"/>
      <c r="F193" s="26"/>
      <c r="H193" s="19"/>
      <c r="I193" s="19"/>
      <c r="J193" s="19"/>
      <c r="K193" s="19"/>
      <c r="L193" s="19"/>
      <c r="M193" s="19"/>
      <c r="N193" s="19"/>
      <c r="O193" s="19"/>
      <c r="P193" s="19"/>
      <c r="Q193" s="19"/>
      <c r="R193" s="19"/>
      <c r="S193" s="19"/>
      <c r="T193" s="19"/>
    </row>
    <row r="194" spans="1:20" s="18" customFormat="1" ht="15" customHeight="1">
      <c r="A194" s="22"/>
      <c r="B194" s="23"/>
      <c r="C194" s="24"/>
      <c r="D194" s="25"/>
      <c r="E194" s="24"/>
      <c r="F194" s="26"/>
      <c r="H194" s="19"/>
      <c r="I194" s="19"/>
      <c r="J194" s="19"/>
      <c r="K194" s="19"/>
      <c r="L194" s="19"/>
      <c r="M194" s="19"/>
      <c r="N194" s="19"/>
      <c r="O194" s="19"/>
      <c r="P194" s="19"/>
      <c r="Q194" s="19"/>
      <c r="R194" s="19"/>
      <c r="S194" s="19"/>
      <c r="T194" s="19"/>
    </row>
    <row r="195" spans="1:20" s="18" customFormat="1" ht="15" customHeight="1">
      <c r="A195" s="22"/>
      <c r="B195" s="23"/>
      <c r="C195" s="24"/>
      <c r="D195" s="25"/>
      <c r="E195" s="24"/>
      <c r="F195" s="26"/>
      <c r="H195" s="19"/>
      <c r="I195" s="19"/>
      <c r="J195" s="19"/>
      <c r="K195" s="19"/>
      <c r="L195" s="19"/>
      <c r="M195" s="19"/>
      <c r="N195" s="19"/>
      <c r="O195" s="19"/>
      <c r="P195" s="19"/>
      <c r="Q195" s="19"/>
      <c r="R195" s="19"/>
      <c r="S195" s="19"/>
      <c r="T195" s="19"/>
    </row>
    <row r="196" spans="1:20" s="18" customFormat="1" ht="15" customHeight="1">
      <c r="A196" s="22"/>
      <c r="B196" s="23"/>
      <c r="C196" s="24"/>
      <c r="D196" s="25"/>
      <c r="E196" s="24"/>
      <c r="F196" s="26"/>
      <c r="H196" s="19"/>
      <c r="I196" s="19"/>
      <c r="J196" s="19"/>
      <c r="K196" s="19"/>
      <c r="L196" s="19"/>
      <c r="M196" s="19"/>
      <c r="N196" s="19"/>
      <c r="O196" s="19"/>
      <c r="P196" s="19"/>
      <c r="Q196" s="19"/>
      <c r="R196" s="19"/>
      <c r="S196" s="19"/>
      <c r="T196" s="19"/>
    </row>
    <row r="197" spans="1:20" s="18" customFormat="1" ht="15" customHeight="1">
      <c r="A197" s="22"/>
      <c r="B197" s="23"/>
      <c r="C197" s="24"/>
      <c r="D197" s="25"/>
      <c r="E197" s="24"/>
      <c r="F197" s="26"/>
      <c r="H197" s="19"/>
      <c r="I197" s="19"/>
      <c r="J197" s="19"/>
      <c r="K197" s="19"/>
      <c r="L197" s="19"/>
      <c r="M197" s="19"/>
      <c r="N197" s="19"/>
      <c r="O197" s="19"/>
      <c r="P197" s="19"/>
      <c r="Q197" s="19"/>
      <c r="R197" s="19"/>
      <c r="S197" s="19"/>
      <c r="T197" s="19"/>
    </row>
    <row r="198" spans="1:20" s="18" customFormat="1" ht="15" customHeight="1">
      <c r="A198" s="22"/>
      <c r="B198" s="23"/>
      <c r="C198" s="24"/>
      <c r="D198" s="25"/>
      <c r="E198" s="24"/>
      <c r="F198" s="26"/>
      <c r="H198" s="19"/>
      <c r="I198" s="19"/>
      <c r="J198" s="19"/>
      <c r="K198" s="19"/>
      <c r="L198" s="19"/>
      <c r="M198" s="19"/>
      <c r="N198" s="19"/>
      <c r="O198" s="19"/>
      <c r="P198" s="19"/>
      <c r="Q198" s="19"/>
      <c r="R198" s="19"/>
      <c r="S198" s="19"/>
      <c r="T198" s="19"/>
    </row>
    <row r="199" spans="1:20" s="18" customFormat="1" ht="15" customHeight="1">
      <c r="A199" s="22"/>
      <c r="B199" s="23"/>
      <c r="C199" s="24"/>
      <c r="D199" s="25"/>
      <c r="E199" s="24"/>
      <c r="F199" s="26"/>
      <c r="H199" s="19"/>
      <c r="I199" s="19"/>
      <c r="J199" s="19"/>
      <c r="K199" s="19"/>
      <c r="L199" s="19"/>
      <c r="M199" s="19"/>
      <c r="N199" s="19"/>
      <c r="O199" s="19"/>
      <c r="P199" s="19"/>
      <c r="Q199" s="19"/>
      <c r="R199" s="19"/>
      <c r="S199" s="19"/>
      <c r="T199" s="19"/>
    </row>
    <row r="200" spans="1:20" s="18" customFormat="1" ht="15" customHeight="1">
      <c r="A200" s="22"/>
      <c r="B200" s="23"/>
      <c r="C200" s="24"/>
      <c r="D200" s="25"/>
      <c r="E200" s="24"/>
      <c r="F200" s="26"/>
      <c r="H200" s="19"/>
      <c r="I200" s="19"/>
      <c r="J200" s="19"/>
      <c r="K200" s="19"/>
      <c r="L200" s="19"/>
      <c r="M200" s="19"/>
      <c r="N200" s="19"/>
      <c r="O200" s="19"/>
      <c r="P200" s="19"/>
      <c r="Q200" s="19"/>
      <c r="R200" s="19"/>
      <c r="S200" s="19"/>
      <c r="T200" s="19"/>
    </row>
    <row r="201" spans="1:20" s="18" customFormat="1" ht="15" customHeight="1">
      <c r="A201" s="22"/>
      <c r="B201" s="23"/>
      <c r="C201" s="24"/>
      <c r="D201" s="25"/>
      <c r="E201" s="24"/>
      <c r="F201" s="26"/>
      <c r="H201" s="19"/>
      <c r="I201" s="19"/>
      <c r="J201" s="19"/>
      <c r="K201" s="19"/>
      <c r="L201" s="19"/>
      <c r="M201" s="19"/>
      <c r="N201" s="19"/>
      <c r="O201" s="19"/>
      <c r="P201" s="19"/>
      <c r="Q201" s="19"/>
      <c r="R201" s="19"/>
      <c r="S201" s="19"/>
      <c r="T201" s="19"/>
    </row>
    <row r="202" spans="1:20" s="18" customFormat="1" ht="15" customHeight="1">
      <c r="A202" s="22"/>
      <c r="B202" s="23"/>
      <c r="C202" s="24"/>
      <c r="D202" s="25"/>
      <c r="E202" s="24"/>
      <c r="F202" s="26"/>
      <c r="H202" s="19"/>
      <c r="I202" s="19"/>
      <c r="J202" s="19"/>
      <c r="K202" s="19"/>
      <c r="L202" s="19"/>
      <c r="M202" s="19"/>
      <c r="N202" s="19"/>
      <c r="O202" s="19"/>
      <c r="P202" s="19"/>
      <c r="Q202" s="19"/>
      <c r="R202" s="19"/>
      <c r="S202" s="19"/>
      <c r="T202" s="19"/>
    </row>
    <row r="203" spans="1:20" s="18" customFormat="1" ht="15" customHeight="1">
      <c r="A203" s="22"/>
      <c r="B203" s="23"/>
      <c r="C203" s="24"/>
      <c r="D203" s="25"/>
      <c r="E203" s="24"/>
      <c r="F203" s="26"/>
      <c r="H203" s="19"/>
      <c r="I203" s="19"/>
      <c r="J203" s="19"/>
      <c r="K203" s="19"/>
      <c r="L203" s="19"/>
      <c r="M203" s="19"/>
      <c r="N203" s="19"/>
      <c r="O203" s="19"/>
      <c r="P203" s="19"/>
      <c r="Q203" s="19"/>
      <c r="R203" s="19"/>
      <c r="S203" s="19"/>
      <c r="T203" s="19"/>
    </row>
    <row r="204" spans="1:20" s="18" customFormat="1" ht="15" customHeight="1">
      <c r="A204" s="22"/>
      <c r="B204" s="23"/>
      <c r="C204" s="24"/>
      <c r="D204" s="25"/>
      <c r="E204" s="24"/>
      <c r="F204" s="26"/>
      <c r="H204" s="19"/>
      <c r="I204" s="19"/>
      <c r="J204" s="19"/>
      <c r="K204" s="19"/>
      <c r="L204" s="19"/>
      <c r="M204" s="19"/>
      <c r="N204" s="19"/>
      <c r="O204" s="19"/>
      <c r="P204" s="19"/>
      <c r="Q204" s="19"/>
      <c r="R204" s="19"/>
      <c r="S204" s="19"/>
      <c r="T204" s="19"/>
    </row>
    <row r="205" spans="1:20" s="18" customFormat="1" ht="15" customHeight="1">
      <c r="A205" s="22"/>
      <c r="B205" s="23"/>
      <c r="C205" s="24"/>
      <c r="D205" s="25"/>
      <c r="E205" s="24"/>
      <c r="F205" s="26"/>
      <c r="H205" s="19"/>
      <c r="I205" s="19"/>
      <c r="J205" s="19"/>
      <c r="K205" s="19"/>
      <c r="L205" s="19"/>
      <c r="M205" s="19"/>
      <c r="N205" s="19"/>
      <c r="O205" s="19"/>
      <c r="P205" s="19"/>
      <c r="Q205" s="19"/>
      <c r="R205" s="19"/>
      <c r="S205" s="19"/>
      <c r="T205" s="19"/>
    </row>
    <row r="206" spans="1:20" s="18" customFormat="1" ht="15" customHeight="1">
      <c r="A206" s="22"/>
      <c r="B206" s="23"/>
      <c r="C206" s="24"/>
      <c r="D206" s="25"/>
      <c r="E206" s="24"/>
      <c r="F206" s="26"/>
      <c r="H206" s="19"/>
      <c r="I206" s="19"/>
      <c r="J206" s="19"/>
      <c r="K206" s="19"/>
      <c r="L206" s="19"/>
      <c r="M206" s="19"/>
      <c r="N206" s="19"/>
      <c r="O206" s="19"/>
      <c r="P206" s="19"/>
      <c r="Q206" s="19"/>
      <c r="R206" s="19"/>
      <c r="S206" s="19"/>
      <c r="T206" s="19"/>
    </row>
    <row r="207" spans="1:20" s="18" customFormat="1" ht="15" customHeight="1">
      <c r="A207" s="22"/>
      <c r="B207" s="23"/>
      <c r="C207" s="24"/>
      <c r="D207" s="25"/>
      <c r="E207" s="24"/>
      <c r="F207" s="26"/>
      <c r="H207" s="19"/>
      <c r="I207" s="19"/>
      <c r="J207" s="19"/>
      <c r="K207" s="19"/>
      <c r="L207" s="19"/>
      <c r="M207" s="19"/>
      <c r="N207" s="19"/>
      <c r="O207" s="19"/>
      <c r="P207" s="19"/>
      <c r="Q207" s="19"/>
      <c r="R207" s="19"/>
      <c r="S207" s="19"/>
      <c r="T207" s="19"/>
    </row>
    <row r="208" spans="1:20" s="18" customFormat="1" ht="15" customHeight="1">
      <c r="A208" s="22"/>
      <c r="B208" s="23"/>
      <c r="C208" s="24"/>
      <c r="D208" s="25"/>
      <c r="E208" s="24"/>
      <c r="F208" s="26"/>
      <c r="H208" s="19"/>
      <c r="I208" s="19"/>
      <c r="J208" s="19"/>
      <c r="K208" s="19"/>
      <c r="L208" s="19"/>
      <c r="M208" s="19"/>
      <c r="N208" s="19"/>
      <c r="O208" s="19"/>
      <c r="P208" s="19"/>
      <c r="Q208" s="19"/>
      <c r="R208" s="19"/>
      <c r="S208" s="19"/>
      <c r="T208" s="19"/>
    </row>
    <row r="209" spans="1:20" s="18" customFormat="1" ht="15" customHeight="1">
      <c r="A209" s="22"/>
      <c r="B209" s="23"/>
      <c r="C209" s="24"/>
      <c r="D209" s="25"/>
      <c r="E209" s="24"/>
      <c r="F209" s="26"/>
      <c r="H209" s="19"/>
      <c r="I209" s="19"/>
      <c r="J209" s="19"/>
      <c r="K209" s="19"/>
      <c r="L209" s="19"/>
      <c r="M209" s="19"/>
      <c r="N209" s="19"/>
      <c r="O209" s="19"/>
      <c r="P209" s="19"/>
      <c r="Q209" s="19"/>
      <c r="R209" s="19"/>
      <c r="S209" s="19"/>
      <c r="T209" s="19"/>
    </row>
    <row r="210" spans="1:20" s="18" customFormat="1" ht="15" customHeight="1">
      <c r="A210" s="22"/>
      <c r="B210" s="23"/>
      <c r="C210" s="24"/>
      <c r="D210" s="25"/>
      <c r="E210" s="24"/>
      <c r="F210" s="26"/>
      <c r="H210" s="19"/>
      <c r="I210" s="19"/>
      <c r="J210" s="19"/>
      <c r="K210" s="19"/>
      <c r="L210" s="19"/>
      <c r="M210" s="19"/>
      <c r="N210" s="19"/>
      <c r="O210" s="19"/>
      <c r="P210" s="19"/>
      <c r="Q210" s="19"/>
      <c r="R210" s="19"/>
      <c r="S210" s="19"/>
      <c r="T210" s="19"/>
    </row>
    <row r="211" spans="1:20" s="18" customFormat="1" ht="15" customHeight="1">
      <c r="A211" s="22"/>
      <c r="B211" s="23"/>
      <c r="C211" s="24"/>
      <c r="D211" s="25"/>
      <c r="E211" s="24"/>
      <c r="F211" s="26"/>
      <c r="H211" s="19"/>
      <c r="I211" s="19"/>
      <c r="J211" s="19"/>
      <c r="K211" s="19"/>
      <c r="L211" s="19"/>
      <c r="M211" s="19"/>
      <c r="N211" s="19"/>
      <c r="O211" s="19"/>
      <c r="P211" s="19"/>
      <c r="Q211" s="19"/>
      <c r="R211" s="19"/>
      <c r="S211" s="19"/>
      <c r="T211" s="19"/>
    </row>
    <row r="212" spans="1:20" s="18" customFormat="1" ht="15" customHeight="1">
      <c r="A212" s="22"/>
      <c r="B212" s="23"/>
      <c r="C212" s="24"/>
      <c r="D212" s="25"/>
      <c r="E212" s="24"/>
      <c r="F212" s="26"/>
      <c r="H212" s="19"/>
      <c r="I212" s="19"/>
      <c r="J212" s="19"/>
      <c r="K212" s="19"/>
      <c r="L212" s="19"/>
      <c r="M212" s="19"/>
      <c r="N212" s="19"/>
      <c r="O212" s="19"/>
      <c r="P212" s="19"/>
      <c r="Q212" s="19"/>
      <c r="R212" s="19"/>
      <c r="S212" s="19"/>
      <c r="T212" s="19"/>
    </row>
    <row r="213" spans="1:20" s="18" customFormat="1" ht="15" customHeight="1">
      <c r="A213" s="22"/>
      <c r="B213" s="23"/>
      <c r="C213" s="24"/>
      <c r="D213" s="25"/>
      <c r="E213" s="24"/>
      <c r="F213" s="26"/>
      <c r="H213" s="19"/>
      <c r="I213" s="19"/>
      <c r="J213" s="19"/>
      <c r="K213" s="19"/>
      <c r="L213" s="19"/>
      <c r="M213" s="19"/>
      <c r="N213" s="19"/>
      <c r="O213" s="19"/>
      <c r="P213" s="19"/>
      <c r="Q213" s="19"/>
      <c r="R213" s="19"/>
      <c r="S213" s="19"/>
      <c r="T213" s="19"/>
    </row>
    <row r="214" spans="1:20" s="18" customFormat="1" ht="15" customHeight="1">
      <c r="A214" s="22"/>
      <c r="B214" s="23"/>
      <c r="C214" s="24"/>
      <c r="D214" s="25"/>
      <c r="E214" s="24"/>
      <c r="F214" s="26"/>
      <c r="H214" s="19"/>
      <c r="I214" s="19"/>
      <c r="J214" s="19"/>
      <c r="K214" s="19"/>
      <c r="L214" s="19"/>
      <c r="M214" s="19"/>
      <c r="N214" s="19"/>
      <c r="O214" s="19"/>
      <c r="P214" s="19"/>
      <c r="Q214" s="19"/>
      <c r="R214" s="19"/>
      <c r="S214" s="19"/>
      <c r="T214" s="19"/>
    </row>
    <row r="215" spans="1:20" s="18" customFormat="1" ht="15" customHeight="1">
      <c r="A215" s="22"/>
      <c r="B215" s="23"/>
      <c r="C215" s="24"/>
      <c r="D215" s="25"/>
      <c r="E215" s="24"/>
      <c r="F215" s="26"/>
      <c r="H215" s="19"/>
      <c r="I215" s="19"/>
      <c r="J215" s="19"/>
      <c r="K215" s="19"/>
      <c r="L215" s="19"/>
      <c r="M215" s="19"/>
      <c r="N215" s="19"/>
      <c r="O215" s="19"/>
      <c r="P215" s="19"/>
      <c r="Q215" s="19"/>
      <c r="R215" s="19"/>
      <c r="S215" s="19"/>
      <c r="T215" s="19"/>
    </row>
    <row r="216" spans="1:20" s="18" customFormat="1" ht="15" customHeight="1">
      <c r="A216" s="22"/>
      <c r="B216" s="23"/>
      <c r="C216" s="24"/>
      <c r="D216" s="25"/>
      <c r="E216" s="24"/>
      <c r="F216" s="26"/>
      <c r="H216" s="19"/>
      <c r="I216" s="19"/>
      <c r="J216" s="19"/>
      <c r="K216" s="19"/>
      <c r="L216" s="19"/>
      <c r="M216" s="19"/>
      <c r="N216" s="19"/>
      <c r="O216" s="19"/>
      <c r="P216" s="19"/>
      <c r="Q216" s="19"/>
      <c r="R216" s="19"/>
      <c r="S216" s="19"/>
      <c r="T216" s="19"/>
    </row>
    <row r="217" spans="1:20" s="18" customFormat="1" ht="15" customHeight="1">
      <c r="A217" s="22"/>
      <c r="B217" s="23"/>
      <c r="C217" s="24"/>
      <c r="D217" s="25"/>
      <c r="E217" s="24"/>
      <c r="F217" s="26"/>
      <c r="H217" s="19"/>
      <c r="I217" s="19"/>
      <c r="J217" s="19"/>
      <c r="K217" s="19"/>
      <c r="L217" s="19"/>
      <c r="M217" s="19"/>
      <c r="N217" s="19"/>
      <c r="O217" s="19"/>
      <c r="P217" s="19"/>
      <c r="Q217" s="19"/>
      <c r="R217" s="19"/>
      <c r="S217" s="19"/>
      <c r="T217" s="19"/>
    </row>
    <row r="218" spans="1:20" s="18" customFormat="1" ht="15" customHeight="1">
      <c r="A218" s="22"/>
      <c r="B218" s="23"/>
      <c r="C218" s="24"/>
      <c r="D218" s="25"/>
      <c r="E218" s="24"/>
      <c r="F218" s="26"/>
      <c r="H218" s="19"/>
      <c r="I218" s="19"/>
      <c r="J218" s="19"/>
      <c r="K218" s="19"/>
      <c r="L218" s="19"/>
      <c r="M218" s="19"/>
      <c r="N218" s="19"/>
      <c r="O218" s="19"/>
      <c r="P218" s="19"/>
      <c r="Q218" s="19"/>
      <c r="R218" s="19"/>
      <c r="S218" s="19"/>
      <c r="T218" s="19"/>
    </row>
    <row r="219" spans="1:20" s="18" customFormat="1" ht="15" customHeight="1">
      <c r="A219" s="22"/>
      <c r="B219" s="23"/>
      <c r="C219" s="24"/>
      <c r="D219" s="25"/>
      <c r="E219" s="24"/>
      <c r="F219" s="26"/>
      <c r="H219" s="19"/>
      <c r="I219" s="19"/>
      <c r="J219" s="19"/>
      <c r="K219" s="19"/>
      <c r="L219" s="19"/>
      <c r="M219" s="19"/>
      <c r="N219" s="19"/>
      <c r="O219" s="19"/>
      <c r="P219" s="19"/>
      <c r="Q219" s="19"/>
      <c r="R219" s="19"/>
      <c r="S219" s="19"/>
      <c r="T219" s="19"/>
    </row>
    <row r="220" spans="1:20" s="18" customFormat="1" ht="15" customHeight="1">
      <c r="A220" s="22"/>
      <c r="B220" s="23"/>
      <c r="C220" s="24"/>
      <c r="D220" s="25"/>
      <c r="E220" s="24"/>
      <c r="F220" s="26"/>
      <c r="H220" s="19"/>
      <c r="I220" s="19"/>
      <c r="J220" s="19"/>
      <c r="K220" s="19"/>
      <c r="L220" s="19"/>
      <c r="M220" s="19"/>
      <c r="N220" s="19"/>
      <c r="O220" s="19"/>
      <c r="P220" s="19"/>
      <c r="Q220" s="19"/>
      <c r="R220" s="19"/>
      <c r="S220" s="19"/>
      <c r="T220" s="19"/>
    </row>
    <row r="221" spans="1:20" s="18" customFormat="1" ht="15" customHeight="1">
      <c r="A221" s="22"/>
      <c r="B221" s="23"/>
      <c r="C221" s="24"/>
      <c r="D221" s="25"/>
      <c r="E221" s="24"/>
      <c r="F221" s="26"/>
      <c r="H221" s="19"/>
      <c r="I221" s="19"/>
      <c r="J221" s="19"/>
      <c r="K221" s="19"/>
      <c r="L221" s="19"/>
      <c r="M221" s="19"/>
      <c r="N221" s="19"/>
      <c r="O221" s="19"/>
      <c r="P221" s="19"/>
      <c r="Q221" s="19"/>
      <c r="R221" s="19"/>
      <c r="S221" s="19"/>
      <c r="T221" s="19"/>
    </row>
    <row r="222" spans="1:20" s="18" customFormat="1" ht="15" customHeight="1">
      <c r="A222" s="22"/>
      <c r="B222" s="23"/>
      <c r="C222" s="24"/>
      <c r="D222" s="25"/>
      <c r="E222" s="24"/>
      <c r="F222" s="26"/>
      <c r="H222" s="19"/>
      <c r="I222" s="19"/>
      <c r="J222" s="19"/>
      <c r="K222" s="19"/>
      <c r="L222" s="19"/>
      <c r="M222" s="19"/>
      <c r="N222" s="19"/>
      <c r="O222" s="19"/>
      <c r="P222" s="19"/>
      <c r="Q222" s="19"/>
      <c r="R222" s="19"/>
      <c r="S222" s="19"/>
      <c r="T222" s="19"/>
    </row>
    <row r="223" spans="1:20" s="18" customFormat="1" ht="15" customHeight="1">
      <c r="A223" s="22"/>
      <c r="B223" s="23"/>
      <c r="C223" s="24"/>
      <c r="D223" s="25"/>
      <c r="E223" s="24"/>
      <c r="F223" s="26"/>
      <c r="H223" s="19"/>
      <c r="I223" s="19"/>
      <c r="J223" s="19"/>
      <c r="K223" s="19"/>
      <c r="L223" s="19"/>
      <c r="M223" s="19"/>
      <c r="N223" s="19"/>
      <c r="O223" s="19"/>
      <c r="P223" s="19"/>
      <c r="Q223" s="19"/>
      <c r="R223" s="19"/>
      <c r="S223" s="19"/>
      <c r="T223" s="19"/>
    </row>
    <row r="224" spans="1:20" s="18" customFormat="1" ht="15" customHeight="1">
      <c r="A224" s="22"/>
      <c r="B224" s="23"/>
      <c r="C224" s="24"/>
      <c r="D224" s="25"/>
      <c r="E224" s="24"/>
      <c r="F224" s="26"/>
      <c r="H224" s="19"/>
      <c r="I224" s="19"/>
      <c r="J224" s="19"/>
      <c r="K224" s="19"/>
      <c r="L224" s="19"/>
      <c r="M224" s="19"/>
      <c r="N224" s="19"/>
      <c r="O224" s="19"/>
      <c r="P224" s="19"/>
      <c r="Q224" s="19"/>
      <c r="R224" s="19"/>
      <c r="S224" s="19"/>
      <c r="T224" s="19"/>
    </row>
    <row r="225" spans="1:20" s="18" customFormat="1" ht="15" customHeight="1">
      <c r="A225" s="22"/>
      <c r="B225" s="23"/>
      <c r="C225" s="24"/>
      <c r="D225" s="25"/>
      <c r="E225" s="24"/>
      <c r="F225" s="26"/>
      <c r="H225" s="19"/>
      <c r="I225" s="19"/>
      <c r="J225" s="19"/>
      <c r="K225" s="19"/>
      <c r="L225" s="19"/>
      <c r="M225" s="19"/>
      <c r="N225" s="19"/>
      <c r="O225" s="19"/>
      <c r="P225" s="19"/>
      <c r="Q225" s="19"/>
      <c r="R225" s="19"/>
      <c r="S225" s="19"/>
      <c r="T225" s="19"/>
    </row>
    <row r="226" spans="1:20" s="18" customFormat="1" ht="15" customHeight="1">
      <c r="A226" s="22"/>
      <c r="B226" s="23"/>
      <c r="C226" s="24"/>
      <c r="D226" s="25"/>
      <c r="E226" s="24"/>
      <c r="F226" s="26"/>
      <c r="H226" s="19"/>
      <c r="I226" s="19"/>
      <c r="J226" s="19"/>
      <c r="K226" s="19"/>
      <c r="L226" s="19"/>
      <c r="M226" s="19"/>
      <c r="N226" s="19"/>
      <c r="O226" s="19"/>
      <c r="P226" s="19"/>
      <c r="Q226" s="19"/>
      <c r="R226" s="19"/>
      <c r="S226" s="19"/>
      <c r="T226" s="19"/>
    </row>
    <row r="227" spans="1:20" s="18" customFormat="1" ht="15" customHeight="1">
      <c r="A227" s="22"/>
      <c r="B227" s="23"/>
      <c r="C227" s="24"/>
      <c r="D227" s="25"/>
      <c r="E227" s="24"/>
      <c r="F227" s="26"/>
      <c r="H227" s="19"/>
      <c r="I227" s="19"/>
      <c r="J227" s="19"/>
      <c r="K227" s="19"/>
      <c r="L227" s="19"/>
      <c r="M227" s="19"/>
      <c r="N227" s="19"/>
      <c r="O227" s="19"/>
      <c r="P227" s="19"/>
      <c r="Q227" s="19"/>
      <c r="R227" s="19"/>
      <c r="S227" s="19"/>
      <c r="T227" s="19"/>
    </row>
    <row r="228" spans="1:20" s="18" customFormat="1" ht="15" customHeight="1">
      <c r="A228" s="22"/>
      <c r="B228" s="23"/>
      <c r="C228" s="24"/>
      <c r="D228" s="25"/>
      <c r="E228" s="24"/>
      <c r="F228" s="26"/>
      <c r="H228" s="19"/>
      <c r="I228" s="19"/>
      <c r="J228" s="19"/>
      <c r="K228" s="19"/>
      <c r="L228" s="19"/>
      <c r="M228" s="19"/>
      <c r="N228" s="19"/>
      <c r="O228" s="19"/>
      <c r="P228" s="19"/>
      <c r="Q228" s="19"/>
      <c r="R228" s="19"/>
      <c r="S228" s="19"/>
      <c r="T228" s="19"/>
    </row>
    <row r="229" spans="1:20" s="18" customFormat="1" ht="15" customHeight="1">
      <c r="A229" s="22"/>
      <c r="B229" s="23"/>
      <c r="C229" s="24"/>
      <c r="D229" s="25"/>
      <c r="E229" s="24"/>
      <c r="F229" s="26"/>
      <c r="H229" s="19"/>
      <c r="I229" s="19"/>
      <c r="J229" s="19"/>
      <c r="K229" s="19"/>
      <c r="L229" s="19"/>
      <c r="M229" s="19"/>
      <c r="N229" s="19"/>
      <c r="O229" s="19"/>
      <c r="P229" s="19"/>
      <c r="Q229" s="19"/>
      <c r="R229" s="19"/>
      <c r="S229" s="19"/>
      <c r="T229" s="19"/>
    </row>
    <row r="230" spans="1:20" s="18" customFormat="1" ht="15" customHeight="1">
      <c r="A230" s="22"/>
      <c r="B230" s="23"/>
      <c r="C230" s="24"/>
      <c r="D230" s="25"/>
      <c r="E230" s="24"/>
      <c r="F230" s="26"/>
      <c r="H230" s="19"/>
      <c r="I230" s="19"/>
      <c r="J230" s="19"/>
      <c r="K230" s="19"/>
      <c r="L230" s="19"/>
      <c r="M230" s="19"/>
      <c r="N230" s="19"/>
      <c r="O230" s="19"/>
      <c r="P230" s="19"/>
      <c r="Q230" s="19"/>
      <c r="R230" s="19"/>
      <c r="S230" s="19"/>
      <c r="T230" s="19"/>
    </row>
    <row r="231" spans="1:20" s="18" customFormat="1" ht="15" customHeight="1">
      <c r="A231" s="22"/>
      <c r="B231" s="23"/>
      <c r="C231" s="24"/>
      <c r="D231" s="25"/>
      <c r="E231" s="24"/>
      <c r="F231" s="26"/>
      <c r="H231" s="19"/>
      <c r="I231" s="19"/>
      <c r="J231" s="19"/>
      <c r="K231" s="19"/>
      <c r="L231" s="19"/>
      <c r="M231" s="19"/>
      <c r="N231" s="19"/>
      <c r="O231" s="19"/>
      <c r="P231" s="19"/>
      <c r="Q231" s="19"/>
      <c r="R231" s="19"/>
      <c r="S231" s="19"/>
      <c r="T231" s="19"/>
    </row>
    <row r="232" spans="1:20" s="18" customFormat="1" ht="15" customHeight="1">
      <c r="A232" s="22"/>
      <c r="B232" s="23"/>
      <c r="C232" s="24"/>
      <c r="D232" s="25"/>
      <c r="E232" s="24"/>
      <c r="F232" s="26"/>
      <c r="H232" s="19"/>
      <c r="I232" s="19"/>
      <c r="J232" s="19"/>
      <c r="K232" s="19"/>
      <c r="L232" s="19"/>
      <c r="M232" s="19"/>
      <c r="N232" s="19"/>
      <c r="O232" s="19"/>
      <c r="P232" s="19"/>
      <c r="Q232" s="19"/>
      <c r="R232" s="19"/>
      <c r="S232" s="19"/>
      <c r="T232" s="19"/>
    </row>
    <row r="233" spans="1:20" s="18" customFormat="1" ht="15" customHeight="1">
      <c r="A233" s="22"/>
      <c r="B233" s="23"/>
      <c r="C233" s="24"/>
      <c r="D233" s="25"/>
      <c r="E233" s="24"/>
      <c r="F233" s="26"/>
      <c r="H233" s="19"/>
      <c r="I233" s="19"/>
      <c r="J233" s="19"/>
      <c r="K233" s="19"/>
      <c r="L233" s="19"/>
      <c r="M233" s="19"/>
      <c r="N233" s="19"/>
      <c r="O233" s="19"/>
      <c r="P233" s="19"/>
      <c r="Q233" s="19"/>
      <c r="R233" s="19"/>
      <c r="S233" s="19"/>
      <c r="T233" s="19"/>
    </row>
    <row r="234" spans="1:20" s="18" customFormat="1" ht="15" customHeight="1">
      <c r="A234" s="22"/>
      <c r="B234" s="23"/>
      <c r="C234" s="24"/>
      <c r="D234" s="25"/>
      <c r="E234" s="24"/>
      <c r="F234" s="26"/>
      <c r="H234" s="19"/>
      <c r="I234" s="19"/>
      <c r="J234" s="19"/>
      <c r="K234" s="19"/>
      <c r="L234" s="19"/>
      <c r="M234" s="19"/>
      <c r="N234" s="19"/>
      <c r="O234" s="19"/>
      <c r="P234" s="19"/>
      <c r="Q234" s="19"/>
      <c r="R234" s="19"/>
      <c r="S234" s="19"/>
      <c r="T234" s="19"/>
    </row>
    <row r="235" spans="1:20" s="18" customFormat="1" ht="15" customHeight="1">
      <c r="A235" s="22"/>
      <c r="B235" s="23"/>
      <c r="C235" s="24"/>
      <c r="D235" s="25"/>
      <c r="E235" s="24"/>
      <c r="F235" s="26"/>
      <c r="H235" s="19"/>
      <c r="I235" s="19"/>
      <c r="J235" s="19"/>
      <c r="K235" s="19"/>
      <c r="L235" s="19"/>
      <c r="M235" s="19"/>
      <c r="N235" s="19"/>
      <c r="O235" s="19"/>
      <c r="P235" s="19"/>
      <c r="Q235" s="19"/>
      <c r="R235" s="19"/>
      <c r="S235" s="19"/>
      <c r="T235" s="19"/>
    </row>
    <row r="236" spans="1:20" s="18" customFormat="1" ht="15" customHeight="1">
      <c r="A236" s="22"/>
      <c r="B236" s="23"/>
      <c r="C236" s="24"/>
      <c r="D236" s="25"/>
      <c r="E236" s="24"/>
      <c r="F236" s="26"/>
      <c r="H236" s="19"/>
      <c r="I236" s="19"/>
      <c r="J236" s="19"/>
      <c r="K236" s="19"/>
      <c r="L236" s="19"/>
      <c r="M236" s="19"/>
      <c r="N236" s="19"/>
      <c r="O236" s="19"/>
      <c r="P236" s="19"/>
      <c r="Q236" s="19"/>
      <c r="R236" s="19"/>
      <c r="S236" s="19"/>
      <c r="T236" s="19"/>
    </row>
    <row r="237" spans="1:20" s="18" customFormat="1" ht="15" customHeight="1">
      <c r="A237" s="22"/>
      <c r="B237" s="23"/>
      <c r="C237" s="24"/>
      <c r="D237" s="25"/>
      <c r="E237" s="24"/>
      <c r="F237" s="26"/>
      <c r="H237" s="19"/>
      <c r="I237" s="19"/>
      <c r="J237" s="19"/>
      <c r="K237" s="19"/>
      <c r="L237" s="19"/>
      <c r="M237" s="19"/>
      <c r="N237" s="19"/>
      <c r="O237" s="19"/>
      <c r="P237" s="19"/>
      <c r="Q237" s="19"/>
      <c r="R237" s="19"/>
      <c r="S237" s="19"/>
      <c r="T237" s="19"/>
    </row>
    <row r="238" spans="1:20" s="18" customFormat="1" ht="15" customHeight="1">
      <c r="A238" s="22"/>
      <c r="B238" s="23"/>
      <c r="C238" s="24"/>
      <c r="D238" s="25"/>
      <c r="E238" s="24"/>
      <c r="F238" s="26"/>
      <c r="H238" s="19"/>
      <c r="I238" s="19"/>
      <c r="J238" s="19"/>
      <c r="K238" s="19"/>
      <c r="L238" s="19"/>
      <c r="M238" s="19"/>
      <c r="N238" s="19"/>
      <c r="O238" s="19"/>
      <c r="P238" s="19"/>
      <c r="Q238" s="19"/>
      <c r="R238" s="19"/>
      <c r="S238" s="19"/>
      <c r="T238" s="19"/>
    </row>
    <row r="239" spans="1:20" s="18" customFormat="1" ht="15" customHeight="1">
      <c r="A239" s="22"/>
      <c r="B239" s="23"/>
      <c r="C239" s="24"/>
      <c r="D239" s="25"/>
      <c r="E239" s="24"/>
      <c r="F239" s="26"/>
      <c r="H239" s="19"/>
      <c r="I239" s="19"/>
      <c r="J239" s="19"/>
      <c r="K239" s="19"/>
      <c r="L239" s="19"/>
      <c r="M239" s="19"/>
      <c r="N239" s="19"/>
      <c r="O239" s="19"/>
      <c r="P239" s="19"/>
      <c r="Q239" s="19"/>
      <c r="R239" s="19"/>
      <c r="S239" s="19"/>
      <c r="T239" s="19"/>
    </row>
    <row r="240" spans="1:20" s="18" customFormat="1" ht="15" customHeight="1">
      <c r="A240" s="22"/>
      <c r="B240" s="23"/>
      <c r="C240" s="24"/>
      <c r="D240" s="25"/>
      <c r="E240" s="24"/>
      <c r="F240" s="26"/>
      <c r="H240" s="19"/>
      <c r="I240" s="19"/>
      <c r="J240" s="19"/>
      <c r="K240" s="19"/>
      <c r="L240" s="19"/>
      <c r="M240" s="19"/>
      <c r="N240" s="19"/>
      <c r="O240" s="19"/>
      <c r="P240" s="19"/>
      <c r="Q240" s="19"/>
      <c r="R240" s="19"/>
      <c r="S240" s="19"/>
      <c r="T240" s="19"/>
    </row>
    <row r="241" spans="1:20" s="18" customFormat="1" ht="15" customHeight="1">
      <c r="A241" s="22"/>
      <c r="B241" s="23"/>
      <c r="C241" s="24"/>
      <c r="D241" s="25"/>
      <c r="E241" s="24"/>
      <c r="F241" s="26"/>
      <c r="H241" s="19"/>
      <c r="I241" s="19"/>
      <c r="J241" s="19"/>
      <c r="K241" s="19"/>
      <c r="L241" s="19"/>
      <c r="M241" s="19"/>
      <c r="N241" s="19"/>
      <c r="O241" s="19"/>
      <c r="P241" s="19"/>
      <c r="Q241" s="19"/>
      <c r="R241" s="19"/>
      <c r="S241" s="19"/>
      <c r="T241" s="19"/>
    </row>
    <row r="242" spans="1:20" s="18" customFormat="1" ht="15" customHeight="1">
      <c r="A242" s="22"/>
      <c r="B242" s="23"/>
      <c r="C242" s="24"/>
      <c r="D242" s="25"/>
      <c r="E242" s="24"/>
      <c r="F242" s="26"/>
      <c r="H242" s="19"/>
      <c r="I242" s="19"/>
      <c r="J242" s="19"/>
      <c r="K242" s="19"/>
      <c r="L242" s="19"/>
      <c r="M242" s="19"/>
      <c r="N242" s="19"/>
      <c r="O242" s="19"/>
      <c r="P242" s="19"/>
      <c r="Q242" s="19"/>
      <c r="R242" s="19"/>
      <c r="S242" s="19"/>
      <c r="T242" s="19"/>
    </row>
    <row r="243" spans="1:20" s="18" customFormat="1" ht="15" customHeight="1">
      <c r="A243" s="22"/>
      <c r="B243" s="23"/>
      <c r="C243" s="24"/>
      <c r="D243" s="25"/>
      <c r="E243" s="24"/>
      <c r="F243" s="26"/>
      <c r="H243" s="19"/>
      <c r="I243" s="19"/>
      <c r="J243" s="19"/>
      <c r="K243" s="19"/>
      <c r="L243" s="19"/>
      <c r="M243" s="19"/>
      <c r="N243" s="19"/>
      <c r="O243" s="19"/>
      <c r="P243" s="19"/>
      <c r="Q243" s="19"/>
      <c r="R243" s="19"/>
      <c r="S243" s="19"/>
      <c r="T243" s="19"/>
    </row>
    <row r="244" spans="1:20" s="18" customFormat="1" ht="15" customHeight="1">
      <c r="A244" s="22"/>
      <c r="B244" s="23"/>
      <c r="C244" s="24"/>
      <c r="D244" s="25"/>
      <c r="E244" s="24"/>
      <c r="F244" s="26"/>
      <c r="H244" s="19"/>
      <c r="I244" s="19"/>
      <c r="J244" s="19"/>
      <c r="K244" s="19"/>
      <c r="L244" s="19"/>
      <c r="M244" s="19"/>
      <c r="N244" s="19"/>
      <c r="O244" s="19"/>
      <c r="P244" s="19"/>
      <c r="Q244" s="19"/>
      <c r="R244" s="19"/>
      <c r="S244" s="19"/>
      <c r="T244" s="19"/>
    </row>
    <row r="245" spans="1:20" s="18" customFormat="1" ht="15" customHeight="1">
      <c r="A245" s="22"/>
      <c r="B245" s="23"/>
      <c r="C245" s="24"/>
      <c r="D245" s="25"/>
      <c r="E245" s="24"/>
      <c r="F245" s="26"/>
      <c r="H245" s="19"/>
      <c r="I245" s="19"/>
      <c r="J245" s="19"/>
      <c r="K245" s="19"/>
      <c r="L245" s="19"/>
      <c r="M245" s="19"/>
      <c r="N245" s="19"/>
      <c r="O245" s="19"/>
      <c r="P245" s="19"/>
      <c r="Q245" s="19"/>
      <c r="R245" s="19"/>
      <c r="S245" s="19"/>
      <c r="T245" s="19"/>
    </row>
    <row r="246" spans="1:20" s="18" customFormat="1" ht="15" customHeight="1">
      <c r="A246" s="22"/>
      <c r="B246" s="23"/>
      <c r="C246" s="24"/>
      <c r="D246" s="25"/>
      <c r="E246" s="24"/>
      <c r="F246" s="26"/>
      <c r="H246" s="19"/>
      <c r="I246" s="19"/>
      <c r="J246" s="19"/>
      <c r="K246" s="19"/>
      <c r="L246" s="19"/>
      <c r="M246" s="19"/>
      <c r="N246" s="19"/>
      <c r="O246" s="19"/>
      <c r="P246" s="19"/>
      <c r="Q246" s="19"/>
      <c r="R246" s="19"/>
      <c r="S246" s="19"/>
      <c r="T246" s="19"/>
    </row>
    <row r="247" spans="1:20" s="18" customFormat="1" ht="15" customHeight="1">
      <c r="A247" s="22"/>
      <c r="B247" s="23"/>
      <c r="C247" s="24"/>
      <c r="D247" s="25"/>
      <c r="E247" s="24"/>
      <c r="F247" s="26"/>
      <c r="H247" s="19"/>
      <c r="I247" s="19"/>
      <c r="J247" s="19"/>
      <c r="K247" s="19"/>
      <c r="L247" s="19"/>
      <c r="M247" s="19"/>
      <c r="N247" s="19"/>
      <c r="O247" s="19"/>
      <c r="P247" s="19"/>
      <c r="Q247" s="19"/>
      <c r="R247" s="19"/>
      <c r="S247" s="19"/>
      <c r="T247" s="19"/>
    </row>
    <row r="248" spans="1:20" s="18" customFormat="1" ht="15" customHeight="1">
      <c r="A248" s="22"/>
      <c r="B248" s="23"/>
      <c r="C248" s="24"/>
      <c r="D248" s="25"/>
      <c r="E248" s="24"/>
      <c r="F248" s="26"/>
      <c r="H248" s="19"/>
      <c r="I248" s="19"/>
      <c r="J248" s="19"/>
      <c r="K248" s="19"/>
      <c r="L248" s="19"/>
      <c r="M248" s="19"/>
      <c r="N248" s="19"/>
      <c r="O248" s="19"/>
      <c r="P248" s="19"/>
      <c r="Q248" s="19"/>
      <c r="R248" s="19"/>
      <c r="S248" s="19"/>
      <c r="T248" s="19"/>
    </row>
    <row r="249" spans="1:20" s="18" customFormat="1" ht="15" customHeight="1">
      <c r="A249" s="22"/>
      <c r="B249" s="23"/>
      <c r="C249" s="24"/>
      <c r="D249" s="25"/>
      <c r="E249" s="24"/>
      <c r="F249" s="26"/>
      <c r="H249" s="19"/>
      <c r="I249" s="19"/>
      <c r="J249" s="19"/>
      <c r="K249" s="19"/>
      <c r="L249" s="19"/>
      <c r="M249" s="19"/>
      <c r="N249" s="19"/>
      <c r="O249" s="19"/>
      <c r="P249" s="19"/>
      <c r="Q249" s="19"/>
      <c r="R249" s="19"/>
      <c r="S249" s="19"/>
      <c r="T249" s="19"/>
    </row>
    <row r="250" spans="1:20" s="18" customFormat="1" ht="15" customHeight="1">
      <c r="A250" s="22"/>
      <c r="B250" s="23"/>
      <c r="C250" s="24"/>
      <c r="D250" s="25"/>
      <c r="E250" s="24"/>
      <c r="F250" s="26"/>
      <c r="H250" s="19"/>
      <c r="I250" s="19"/>
      <c r="J250" s="19"/>
      <c r="K250" s="19"/>
      <c r="L250" s="19"/>
      <c r="M250" s="19"/>
      <c r="N250" s="19"/>
      <c r="O250" s="19"/>
      <c r="P250" s="19"/>
      <c r="Q250" s="19"/>
      <c r="R250" s="19"/>
      <c r="S250" s="19"/>
      <c r="T250" s="19"/>
    </row>
    <row r="251" spans="1:20" s="18" customFormat="1" ht="15" customHeight="1">
      <c r="A251" s="22"/>
      <c r="B251" s="23"/>
      <c r="C251" s="24"/>
      <c r="D251" s="25"/>
      <c r="E251" s="24"/>
      <c r="F251" s="26"/>
      <c r="H251" s="19"/>
      <c r="I251" s="19"/>
      <c r="J251" s="19"/>
      <c r="K251" s="19"/>
      <c r="L251" s="19"/>
      <c r="M251" s="19"/>
      <c r="N251" s="19"/>
      <c r="O251" s="19"/>
      <c r="P251" s="19"/>
      <c r="Q251" s="19"/>
      <c r="R251" s="19"/>
      <c r="S251" s="19"/>
      <c r="T251" s="19"/>
    </row>
    <row r="252" spans="1:20" s="18" customFormat="1" ht="15" customHeight="1">
      <c r="A252" s="22"/>
      <c r="B252" s="23"/>
      <c r="C252" s="24"/>
      <c r="D252" s="25"/>
      <c r="E252" s="24"/>
      <c r="F252" s="26"/>
      <c r="H252" s="19"/>
      <c r="I252" s="19"/>
      <c r="J252" s="19"/>
      <c r="K252" s="19"/>
      <c r="L252" s="19"/>
      <c r="M252" s="19"/>
      <c r="N252" s="19"/>
      <c r="O252" s="19"/>
      <c r="P252" s="19"/>
      <c r="Q252" s="19"/>
      <c r="R252" s="19"/>
      <c r="S252" s="19"/>
      <c r="T252" s="19"/>
    </row>
    <row r="253" spans="1:20" s="18" customFormat="1" ht="15" customHeight="1">
      <c r="A253" s="22"/>
      <c r="B253" s="23"/>
      <c r="C253" s="24"/>
      <c r="D253" s="25"/>
      <c r="E253" s="24"/>
      <c r="F253" s="26"/>
      <c r="H253" s="19"/>
      <c r="I253" s="19"/>
      <c r="J253" s="19"/>
      <c r="K253" s="19"/>
      <c r="L253" s="19"/>
      <c r="M253" s="19"/>
      <c r="N253" s="19"/>
      <c r="O253" s="19"/>
      <c r="P253" s="19"/>
      <c r="Q253" s="19"/>
      <c r="R253" s="19"/>
      <c r="S253" s="19"/>
      <c r="T253" s="19"/>
    </row>
    <row r="254" spans="1:20" s="18" customFormat="1" ht="15" customHeight="1">
      <c r="A254" s="22"/>
      <c r="B254" s="23"/>
      <c r="C254" s="24"/>
      <c r="D254" s="25"/>
      <c r="E254" s="24"/>
      <c r="F254" s="26"/>
      <c r="H254" s="19"/>
      <c r="I254" s="19"/>
      <c r="J254" s="19"/>
      <c r="K254" s="19"/>
      <c r="L254" s="19"/>
      <c r="M254" s="19"/>
      <c r="N254" s="19"/>
      <c r="O254" s="19"/>
      <c r="P254" s="19"/>
      <c r="Q254" s="19"/>
      <c r="R254" s="19"/>
      <c r="S254" s="19"/>
      <c r="T254" s="19"/>
    </row>
    <row r="255" spans="1:20" s="18" customFormat="1" ht="15" customHeight="1">
      <c r="A255" s="22"/>
      <c r="B255" s="23"/>
      <c r="C255" s="24"/>
      <c r="D255" s="25"/>
      <c r="E255" s="24"/>
      <c r="F255" s="26"/>
      <c r="H255" s="19"/>
      <c r="I255" s="19"/>
      <c r="J255" s="19"/>
      <c r="K255" s="19"/>
      <c r="L255" s="19"/>
      <c r="M255" s="19"/>
      <c r="N255" s="19"/>
      <c r="O255" s="19"/>
      <c r="P255" s="19"/>
      <c r="Q255" s="19"/>
      <c r="R255" s="19"/>
      <c r="S255" s="19"/>
      <c r="T255" s="19"/>
    </row>
    <row r="256" spans="1:20" s="18" customFormat="1" ht="15" customHeight="1">
      <c r="A256" s="22"/>
      <c r="B256" s="23"/>
      <c r="C256" s="24"/>
      <c r="D256" s="25"/>
      <c r="E256" s="24"/>
      <c r="F256" s="26"/>
      <c r="H256" s="19"/>
      <c r="I256" s="19"/>
      <c r="J256" s="19"/>
      <c r="K256" s="19"/>
      <c r="L256" s="19"/>
      <c r="M256" s="19"/>
      <c r="N256" s="19"/>
      <c r="O256" s="19"/>
      <c r="P256" s="19"/>
      <c r="Q256" s="19"/>
      <c r="R256" s="19"/>
      <c r="S256" s="19"/>
      <c r="T256" s="19"/>
    </row>
    <row r="257" spans="1:20" s="18" customFormat="1" ht="15" customHeight="1">
      <c r="A257" s="22"/>
      <c r="B257" s="23"/>
      <c r="C257" s="24"/>
      <c r="D257" s="25"/>
      <c r="E257" s="24"/>
      <c r="F257" s="26"/>
      <c r="H257" s="19"/>
      <c r="I257" s="19"/>
      <c r="J257" s="19"/>
      <c r="K257" s="19"/>
      <c r="L257" s="19"/>
      <c r="M257" s="19"/>
      <c r="N257" s="19"/>
      <c r="O257" s="19"/>
      <c r="P257" s="19"/>
      <c r="Q257" s="19"/>
      <c r="R257" s="19"/>
      <c r="S257" s="19"/>
      <c r="T257" s="19"/>
    </row>
    <row r="258" spans="1:20" s="18" customFormat="1" ht="15" customHeight="1">
      <c r="A258" s="22"/>
      <c r="B258" s="23"/>
      <c r="C258" s="24"/>
      <c r="D258" s="25"/>
      <c r="E258" s="24"/>
      <c r="F258" s="26"/>
      <c r="H258" s="19"/>
      <c r="I258" s="19"/>
      <c r="J258" s="19"/>
      <c r="K258" s="19"/>
      <c r="L258" s="19"/>
      <c r="M258" s="19"/>
      <c r="N258" s="19"/>
      <c r="O258" s="19"/>
      <c r="P258" s="19"/>
      <c r="Q258" s="19"/>
      <c r="R258" s="19"/>
      <c r="S258" s="19"/>
      <c r="T258" s="19"/>
    </row>
    <row r="259" spans="1:20" s="18" customFormat="1" ht="15" customHeight="1">
      <c r="A259" s="22"/>
      <c r="B259" s="23"/>
      <c r="C259" s="24"/>
      <c r="D259" s="25"/>
      <c r="E259" s="24"/>
      <c r="F259" s="26"/>
      <c r="H259" s="19"/>
      <c r="I259" s="19"/>
      <c r="J259" s="19"/>
      <c r="K259" s="19"/>
      <c r="L259" s="19"/>
      <c r="M259" s="19"/>
      <c r="N259" s="19"/>
      <c r="O259" s="19"/>
      <c r="P259" s="19"/>
      <c r="Q259" s="19"/>
      <c r="R259" s="19"/>
      <c r="S259" s="19"/>
      <c r="T259" s="19"/>
    </row>
    <row r="260" spans="1:20" s="18" customFormat="1" ht="15" customHeight="1">
      <c r="A260" s="22"/>
      <c r="B260" s="23"/>
      <c r="C260" s="24"/>
      <c r="D260" s="25"/>
      <c r="E260" s="24"/>
      <c r="F260" s="26"/>
      <c r="H260" s="19"/>
      <c r="I260" s="19"/>
      <c r="J260" s="19"/>
      <c r="K260" s="19"/>
      <c r="L260" s="19"/>
      <c r="M260" s="19"/>
      <c r="N260" s="19"/>
      <c r="O260" s="19"/>
      <c r="P260" s="19"/>
      <c r="Q260" s="19"/>
      <c r="R260" s="19"/>
      <c r="S260" s="19"/>
      <c r="T260" s="19"/>
    </row>
    <row r="261" spans="1:20" s="18" customFormat="1" ht="15" customHeight="1">
      <c r="A261" s="22"/>
      <c r="B261" s="23"/>
      <c r="C261" s="24"/>
      <c r="D261" s="25"/>
      <c r="E261" s="24"/>
      <c r="F261" s="26"/>
      <c r="H261" s="19"/>
      <c r="I261" s="19"/>
      <c r="J261" s="19"/>
      <c r="K261" s="19"/>
      <c r="L261" s="19"/>
      <c r="M261" s="19"/>
      <c r="N261" s="19"/>
      <c r="O261" s="19"/>
      <c r="P261" s="19"/>
      <c r="Q261" s="19"/>
      <c r="R261" s="19"/>
      <c r="S261" s="19"/>
      <c r="T261" s="19"/>
    </row>
    <row r="262" spans="1:20" s="18" customFormat="1" ht="15" customHeight="1">
      <c r="A262" s="22"/>
      <c r="B262" s="23"/>
      <c r="C262" s="24"/>
      <c r="D262" s="25"/>
      <c r="E262" s="24"/>
      <c r="F262" s="26"/>
      <c r="H262" s="19"/>
      <c r="I262" s="19"/>
      <c r="J262" s="19"/>
      <c r="K262" s="19"/>
      <c r="L262" s="19"/>
      <c r="M262" s="19"/>
      <c r="N262" s="19"/>
      <c r="O262" s="19"/>
      <c r="P262" s="19"/>
      <c r="Q262" s="19"/>
      <c r="R262" s="19"/>
      <c r="S262" s="19"/>
      <c r="T262" s="19"/>
    </row>
    <row r="263" spans="1:20" s="18" customFormat="1" ht="15" customHeight="1">
      <c r="A263" s="22"/>
      <c r="B263" s="23"/>
      <c r="C263" s="24"/>
      <c r="D263" s="25"/>
      <c r="E263" s="24"/>
      <c r="F263" s="26"/>
      <c r="H263" s="19"/>
      <c r="I263" s="19"/>
      <c r="J263" s="19"/>
      <c r="K263" s="19"/>
      <c r="L263" s="19"/>
      <c r="M263" s="19"/>
      <c r="N263" s="19"/>
      <c r="O263" s="19"/>
      <c r="P263" s="19"/>
      <c r="Q263" s="19"/>
      <c r="R263" s="19"/>
      <c r="S263" s="19"/>
      <c r="T263" s="19"/>
    </row>
    <row r="264" spans="1:20" s="18" customFormat="1" ht="15" customHeight="1">
      <c r="A264" s="22"/>
      <c r="B264" s="23"/>
      <c r="C264" s="24"/>
      <c r="D264" s="25"/>
      <c r="E264" s="24"/>
      <c r="F264" s="26"/>
      <c r="H264" s="19"/>
      <c r="I264" s="19"/>
      <c r="J264" s="19"/>
      <c r="K264" s="19"/>
      <c r="L264" s="19"/>
      <c r="M264" s="19"/>
      <c r="N264" s="19"/>
      <c r="O264" s="19"/>
      <c r="P264" s="19"/>
      <c r="Q264" s="19"/>
      <c r="R264" s="19"/>
      <c r="S264" s="19"/>
      <c r="T264" s="19"/>
    </row>
    <row r="265" spans="1:20" s="18" customFormat="1" ht="15" customHeight="1">
      <c r="A265" s="22"/>
      <c r="B265" s="23"/>
      <c r="C265" s="24"/>
      <c r="D265" s="25"/>
      <c r="E265" s="24"/>
      <c r="F265" s="26"/>
      <c r="H265" s="19"/>
      <c r="I265" s="19"/>
      <c r="J265" s="19"/>
      <c r="K265" s="19"/>
      <c r="L265" s="19"/>
      <c r="M265" s="19"/>
      <c r="N265" s="19"/>
      <c r="O265" s="19"/>
      <c r="P265" s="19"/>
      <c r="Q265" s="19"/>
      <c r="R265" s="19"/>
      <c r="S265" s="19"/>
      <c r="T265" s="19"/>
    </row>
    <row r="266" spans="1:20" s="18" customFormat="1" ht="15" customHeight="1">
      <c r="A266" s="22"/>
      <c r="B266" s="23"/>
      <c r="C266" s="24"/>
      <c r="D266" s="25"/>
      <c r="E266" s="24"/>
      <c r="F266" s="26"/>
      <c r="H266" s="19"/>
      <c r="I266" s="19"/>
      <c r="J266" s="19"/>
      <c r="K266" s="19"/>
      <c r="L266" s="19"/>
      <c r="M266" s="19"/>
      <c r="N266" s="19"/>
      <c r="O266" s="19"/>
      <c r="P266" s="19"/>
      <c r="Q266" s="19"/>
      <c r="R266" s="19"/>
      <c r="S266" s="19"/>
      <c r="T266" s="19"/>
    </row>
    <row r="267" spans="1:20" s="18" customFormat="1" ht="15" customHeight="1">
      <c r="A267" s="22"/>
      <c r="B267" s="23"/>
      <c r="C267" s="24"/>
      <c r="D267" s="25"/>
      <c r="E267" s="24"/>
      <c r="F267" s="26"/>
      <c r="H267" s="19"/>
      <c r="I267" s="19"/>
      <c r="J267" s="19"/>
      <c r="K267" s="19"/>
      <c r="L267" s="19"/>
      <c r="M267" s="19"/>
      <c r="N267" s="19"/>
      <c r="O267" s="19"/>
      <c r="P267" s="19"/>
      <c r="Q267" s="19"/>
      <c r="R267" s="19"/>
      <c r="S267" s="19"/>
      <c r="T267" s="19"/>
    </row>
    <row r="268" spans="1:20" s="18" customFormat="1" ht="15" customHeight="1">
      <c r="A268" s="22"/>
      <c r="B268" s="23"/>
      <c r="C268" s="24"/>
      <c r="D268" s="25"/>
      <c r="E268" s="24"/>
      <c r="F268" s="26"/>
      <c r="H268" s="19"/>
      <c r="I268" s="19"/>
      <c r="J268" s="19"/>
      <c r="K268" s="19"/>
      <c r="L268" s="19"/>
      <c r="M268" s="19"/>
      <c r="N268" s="19"/>
      <c r="O268" s="19"/>
      <c r="P268" s="19"/>
      <c r="Q268" s="19"/>
      <c r="R268" s="19"/>
      <c r="S268" s="19"/>
      <c r="T268" s="19"/>
    </row>
    <row r="269" spans="1:20" s="18" customFormat="1" ht="15" customHeight="1">
      <c r="A269" s="22"/>
      <c r="B269" s="23"/>
      <c r="C269" s="24"/>
      <c r="D269" s="25"/>
      <c r="E269" s="24"/>
      <c r="F269" s="26"/>
      <c r="H269" s="19"/>
      <c r="I269" s="19"/>
      <c r="J269" s="19"/>
      <c r="K269" s="19"/>
      <c r="L269" s="19"/>
      <c r="M269" s="19"/>
      <c r="N269" s="19"/>
      <c r="O269" s="19"/>
      <c r="P269" s="19"/>
      <c r="Q269" s="19"/>
      <c r="R269" s="19"/>
      <c r="S269" s="19"/>
      <c r="T269" s="19"/>
    </row>
    <row r="270" spans="1:20" s="18" customFormat="1" ht="15" customHeight="1">
      <c r="A270" s="22"/>
      <c r="B270" s="23"/>
      <c r="C270" s="24"/>
      <c r="D270" s="25"/>
      <c r="E270" s="24"/>
      <c r="F270" s="26"/>
      <c r="H270" s="19"/>
      <c r="I270" s="19"/>
      <c r="J270" s="19"/>
      <c r="K270" s="19"/>
      <c r="L270" s="19"/>
      <c r="M270" s="19"/>
      <c r="N270" s="19"/>
      <c r="O270" s="19"/>
      <c r="P270" s="19"/>
      <c r="Q270" s="19"/>
      <c r="R270" s="19"/>
      <c r="S270" s="19"/>
      <c r="T270" s="19"/>
    </row>
    <row r="271" spans="1:20" s="18" customFormat="1" ht="15" customHeight="1">
      <c r="A271" s="22"/>
      <c r="B271" s="23"/>
      <c r="C271" s="24"/>
      <c r="D271" s="25"/>
      <c r="E271" s="24"/>
      <c r="F271" s="26"/>
      <c r="H271" s="19"/>
      <c r="I271" s="19"/>
      <c r="J271" s="19"/>
      <c r="K271" s="19"/>
      <c r="L271" s="19"/>
      <c r="M271" s="19"/>
      <c r="N271" s="19"/>
      <c r="O271" s="19"/>
      <c r="P271" s="19"/>
      <c r="Q271" s="19"/>
      <c r="R271" s="19"/>
      <c r="S271" s="19"/>
      <c r="T271" s="19"/>
    </row>
    <row r="272" spans="1:20" s="18" customFormat="1" ht="15" customHeight="1">
      <c r="A272" s="22"/>
      <c r="B272" s="23"/>
      <c r="C272" s="24"/>
      <c r="D272" s="25"/>
      <c r="E272" s="24"/>
      <c r="F272" s="26"/>
      <c r="H272" s="19"/>
      <c r="I272" s="19"/>
      <c r="J272" s="19"/>
      <c r="K272" s="19"/>
      <c r="L272" s="19"/>
      <c r="M272" s="19"/>
      <c r="N272" s="19"/>
      <c r="O272" s="19"/>
      <c r="P272" s="19"/>
      <c r="Q272" s="19"/>
      <c r="R272" s="19"/>
      <c r="S272" s="19"/>
      <c r="T272" s="19"/>
    </row>
    <row r="273" spans="1:20" s="18" customFormat="1" ht="15" customHeight="1">
      <c r="A273" s="22"/>
      <c r="B273" s="23"/>
      <c r="C273" s="24"/>
      <c r="D273" s="25"/>
      <c r="E273" s="24"/>
      <c r="F273" s="26"/>
      <c r="H273" s="19"/>
      <c r="I273" s="19"/>
      <c r="J273" s="19"/>
      <c r="K273" s="19"/>
      <c r="L273" s="19"/>
      <c r="M273" s="19"/>
      <c r="N273" s="19"/>
      <c r="O273" s="19"/>
      <c r="P273" s="19"/>
      <c r="Q273" s="19"/>
      <c r="R273" s="19"/>
      <c r="S273" s="19"/>
      <c r="T273" s="19"/>
    </row>
    <row r="274" spans="1:20" s="18" customFormat="1" ht="15" customHeight="1">
      <c r="A274" s="22"/>
      <c r="B274" s="23"/>
      <c r="C274" s="24"/>
      <c r="D274" s="25"/>
      <c r="E274" s="24"/>
      <c r="F274" s="26"/>
      <c r="H274" s="19"/>
      <c r="I274" s="19"/>
      <c r="J274" s="19"/>
      <c r="K274" s="19"/>
      <c r="L274" s="19"/>
      <c r="M274" s="19"/>
      <c r="N274" s="19"/>
      <c r="O274" s="19"/>
      <c r="P274" s="19"/>
      <c r="Q274" s="19"/>
      <c r="R274" s="19"/>
      <c r="S274" s="19"/>
      <c r="T274" s="19"/>
    </row>
    <row r="275" spans="1:20" s="18" customFormat="1" ht="15" customHeight="1">
      <c r="A275" s="22"/>
      <c r="B275" s="23"/>
      <c r="C275" s="24"/>
      <c r="D275" s="25"/>
      <c r="E275" s="24"/>
      <c r="F275" s="26"/>
      <c r="H275" s="19"/>
      <c r="I275" s="19"/>
      <c r="J275" s="19"/>
      <c r="K275" s="19"/>
      <c r="L275" s="19"/>
      <c r="M275" s="19"/>
      <c r="N275" s="19"/>
      <c r="O275" s="19"/>
      <c r="P275" s="19"/>
      <c r="Q275" s="19"/>
      <c r="R275" s="19"/>
      <c r="S275" s="19"/>
      <c r="T275" s="19"/>
    </row>
    <row r="276" spans="1:20" s="18" customFormat="1" ht="15" customHeight="1">
      <c r="A276" s="22"/>
      <c r="B276" s="23"/>
      <c r="C276" s="24"/>
      <c r="D276" s="25"/>
      <c r="E276" s="24"/>
      <c r="F276" s="26"/>
      <c r="H276" s="19"/>
      <c r="I276" s="19"/>
      <c r="J276" s="19"/>
      <c r="K276" s="19"/>
      <c r="L276" s="19"/>
      <c r="M276" s="19"/>
      <c r="N276" s="19"/>
      <c r="O276" s="19"/>
      <c r="P276" s="19"/>
      <c r="Q276" s="19"/>
      <c r="R276" s="19"/>
      <c r="S276" s="19"/>
      <c r="T276" s="19"/>
    </row>
    <row r="277" spans="1:20" s="18" customFormat="1" ht="15" customHeight="1">
      <c r="A277" s="22"/>
      <c r="B277" s="23"/>
      <c r="C277" s="24"/>
      <c r="D277" s="25"/>
      <c r="E277" s="24"/>
      <c r="F277" s="26"/>
      <c r="H277" s="19"/>
      <c r="I277" s="19"/>
      <c r="J277" s="19"/>
      <c r="K277" s="19"/>
      <c r="L277" s="19"/>
      <c r="M277" s="19"/>
      <c r="N277" s="19"/>
      <c r="O277" s="19"/>
      <c r="P277" s="19"/>
      <c r="Q277" s="19"/>
      <c r="R277" s="19"/>
      <c r="S277" s="19"/>
      <c r="T277" s="19"/>
    </row>
    <row r="278" spans="1:20" s="18" customFormat="1" ht="15" customHeight="1">
      <c r="A278" s="22"/>
      <c r="B278" s="23"/>
      <c r="C278" s="24"/>
      <c r="D278" s="25"/>
      <c r="E278" s="24"/>
      <c r="F278" s="26"/>
      <c r="H278" s="19"/>
      <c r="I278" s="19"/>
      <c r="J278" s="19"/>
      <c r="K278" s="19"/>
      <c r="L278" s="19"/>
      <c r="M278" s="19"/>
      <c r="N278" s="19"/>
      <c r="O278" s="19"/>
      <c r="P278" s="19"/>
      <c r="Q278" s="19"/>
      <c r="R278" s="19"/>
      <c r="S278" s="19"/>
      <c r="T278" s="19"/>
    </row>
    <row r="279" spans="1:20" s="18" customFormat="1" ht="15" customHeight="1">
      <c r="A279" s="22"/>
      <c r="B279" s="23"/>
      <c r="C279" s="24"/>
      <c r="D279" s="25"/>
      <c r="E279" s="24"/>
      <c r="F279" s="26"/>
      <c r="H279" s="19"/>
      <c r="I279" s="19"/>
      <c r="J279" s="19"/>
      <c r="K279" s="19"/>
      <c r="L279" s="19"/>
      <c r="M279" s="19"/>
      <c r="N279" s="19"/>
      <c r="O279" s="19"/>
      <c r="P279" s="19"/>
      <c r="Q279" s="19"/>
      <c r="R279" s="19"/>
      <c r="S279" s="19"/>
      <c r="T279" s="19"/>
    </row>
    <row r="280" spans="1:20" s="18" customFormat="1" ht="15" customHeight="1">
      <c r="A280" s="22"/>
      <c r="B280" s="23"/>
      <c r="C280" s="24"/>
      <c r="D280" s="25"/>
      <c r="E280" s="24"/>
      <c r="F280" s="26"/>
      <c r="H280" s="19"/>
      <c r="I280" s="19"/>
      <c r="J280" s="19"/>
      <c r="K280" s="19"/>
      <c r="L280" s="19"/>
      <c r="M280" s="19"/>
      <c r="N280" s="19"/>
      <c r="O280" s="19"/>
      <c r="P280" s="19"/>
      <c r="Q280" s="19"/>
      <c r="R280" s="19"/>
      <c r="S280" s="19"/>
      <c r="T280" s="19"/>
    </row>
    <row r="281" spans="1:20" s="18" customFormat="1" ht="15" customHeight="1">
      <c r="A281" s="22"/>
      <c r="B281" s="23"/>
      <c r="C281" s="24"/>
      <c r="D281" s="25"/>
      <c r="E281" s="24"/>
      <c r="F281" s="26"/>
      <c r="H281" s="19"/>
      <c r="I281" s="19"/>
      <c r="J281" s="19"/>
      <c r="K281" s="19"/>
      <c r="L281" s="19"/>
      <c r="M281" s="19"/>
      <c r="N281" s="19"/>
      <c r="O281" s="19"/>
      <c r="P281" s="19"/>
      <c r="Q281" s="19"/>
      <c r="R281" s="19"/>
      <c r="S281" s="19"/>
      <c r="T281" s="19"/>
    </row>
    <row r="282" spans="1:20" s="18" customFormat="1" ht="15" customHeight="1">
      <c r="A282" s="22"/>
      <c r="B282" s="23"/>
      <c r="C282" s="24"/>
      <c r="D282" s="25"/>
      <c r="E282" s="24"/>
      <c r="F282" s="26"/>
      <c r="H282" s="19"/>
      <c r="I282" s="19"/>
      <c r="J282" s="19"/>
      <c r="K282" s="19"/>
      <c r="L282" s="19"/>
      <c r="M282" s="19"/>
      <c r="N282" s="19"/>
      <c r="O282" s="19"/>
      <c r="P282" s="19"/>
      <c r="Q282" s="19"/>
      <c r="R282" s="19"/>
      <c r="S282" s="19"/>
      <c r="T282" s="19"/>
    </row>
    <row r="283" spans="1:20" s="18" customFormat="1" ht="15" customHeight="1">
      <c r="A283" s="22"/>
      <c r="B283" s="23"/>
      <c r="C283" s="24"/>
      <c r="D283" s="25"/>
      <c r="E283" s="24"/>
      <c r="F283" s="26"/>
      <c r="H283" s="19"/>
      <c r="I283" s="19"/>
      <c r="J283" s="19"/>
      <c r="K283" s="19"/>
      <c r="L283" s="19"/>
      <c r="M283" s="19"/>
      <c r="N283" s="19"/>
      <c r="O283" s="19"/>
      <c r="P283" s="19"/>
      <c r="Q283" s="19"/>
      <c r="R283" s="19"/>
      <c r="S283" s="19"/>
      <c r="T283" s="19"/>
    </row>
    <row r="284" spans="1:20" s="18" customFormat="1" ht="15" customHeight="1">
      <c r="A284" s="22"/>
      <c r="B284" s="23"/>
      <c r="C284" s="24"/>
      <c r="D284" s="25"/>
      <c r="E284" s="24"/>
      <c r="F284" s="26"/>
      <c r="H284" s="19"/>
      <c r="I284" s="19"/>
      <c r="J284" s="19"/>
      <c r="K284" s="19"/>
      <c r="L284" s="19"/>
      <c r="M284" s="19"/>
      <c r="N284" s="19"/>
      <c r="O284" s="19"/>
      <c r="P284" s="19"/>
      <c r="Q284" s="19"/>
      <c r="R284" s="19"/>
      <c r="S284" s="19"/>
      <c r="T284" s="19"/>
    </row>
    <row r="285" spans="1:20" s="18" customFormat="1" ht="15" customHeight="1">
      <c r="A285" s="22"/>
      <c r="B285" s="23"/>
      <c r="C285" s="24"/>
      <c r="D285" s="25"/>
      <c r="E285" s="24"/>
      <c r="F285" s="26"/>
      <c r="H285" s="19"/>
      <c r="I285" s="19"/>
      <c r="J285" s="19"/>
      <c r="K285" s="19"/>
      <c r="L285" s="19"/>
      <c r="M285" s="19"/>
      <c r="N285" s="19"/>
      <c r="O285" s="19"/>
      <c r="P285" s="19"/>
      <c r="Q285" s="19"/>
      <c r="R285" s="19"/>
      <c r="S285" s="19"/>
      <c r="T285" s="19"/>
    </row>
    <row r="286" spans="1:20" s="18" customFormat="1" ht="15" customHeight="1">
      <c r="A286" s="22"/>
      <c r="B286" s="23"/>
      <c r="C286" s="24"/>
      <c r="D286" s="25"/>
      <c r="E286" s="24"/>
      <c r="F286" s="26"/>
      <c r="H286" s="19"/>
      <c r="I286" s="19"/>
      <c r="J286" s="19"/>
      <c r="K286" s="19"/>
      <c r="L286" s="19"/>
      <c r="M286" s="19"/>
      <c r="N286" s="19"/>
      <c r="O286" s="19"/>
      <c r="P286" s="19"/>
      <c r="Q286" s="19"/>
      <c r="R286" s="19"/>
      <c r="S286" s="19"/>
      <c r="T286" s="19"/>
    </row>
    <row r="287" spans="1:20" s="18" customFormat="1" ht="15" customHeight="1">
      <c r="A287" s="22"/>
      <c r="B287" s="23"/>
      <c r="C287" s="24"/>
      <c r="D287" s="25"/>
      <c r="E287" s="24"/>
      <c r="F287" s="26"/>
      <c r="H287" s="19"/>
      <c r="I287" s="19"/>
      <c r="J287" s="19"/>
      <c r="K287" s="19"/>
      <c r="L287" s="19"/>
      <c r="M287" s="19"/>
      <c r="N287" s="19"/>
      <c r="O287" s="19"/>
      <c r="P287" s="19"/>
      <c r="Q287" s="19"/>
      <c r="R287" s="19"/>
      <c r="S287" s="19"/>
      <c r="T287" s="19"/>
    </row>
    <row r="288" spans="1:20" s="18" customFormat="1" ht="15" customHeight="1">
      <c r="A288" s="22"/>
      <c r="B288" s="23"/>
      <c r="C288" s="24"/>
      <c r="D288" s="25"/>
      <c r="E288" s="24"/>
      <c r="F288" s="26"/>
      <c r="H288" s="19"/>
      <c r="I288" s="19"/>
      <c r="J288" s="19"/>
      <c r="K288" s="19"/>
      <c r="L288" s="19"/>
      <c r="M288" s="19"/>
      <c r="N288" s="19"/>
      <c r="O288" s="19"/>
      <c r="P288" s="19"/>
      <c r="Q288" s="19"/>
      <c r="R288" s="19"/>
      <c r="S288" s="19"/>
      <c r="T288" s="19"/>
    </row>
    <row r="289" spans="1:20" s="18" customFormat="1" ht="15" customHeight="1">
      <c r="A289" s="22"/>
      <c r="B289" s="23"/>
      <c r="C289" s="24"/>
      <c r="D289" s="25"/>
      <c r="E289" s="24"/>
      <c r="F289" s="26"/>
      <c r="H289" s="19"/>
      <c r="I289" s="19"/>
      <c r="J289" s="19"/>
      <c r="K289" s="19"/>
      <c r="L289" s="19"/>
      <c r="M289" s="19"/>
      <c r="N289" s="19"/>
      <c r="O289" s="19"/>
      <c r="P289" s="19"/>
      <c r="Q289" s="19"/>
      <c r="R289" s="19"/>
      <c r="S289" s="19"/>
      <c r="T289" s="19"/>
    </row>
    <row r="290" spans="1:20" s="18" customFormat="1" ht="15" customHeight="1">
      <c r="A290" s="22"/>
      <c r="B290" s="23"/>
      <c r="C290" s="24"/>
      <c r="D290" s="25"/>
      <c r="E290" s="24"/>
      <c r="F290" s="26"/>
      <c r="H290" s="19"/>
      <c r="I290" s="19"/>
      <c r="J290" s="19"/>
      <c r="K290" s="19"/>
      <c r="L290" s="19"/>
      <c r="M290" s="19"/>
      <c r="N290" s="19"/>
      <c r="O290" s="19"/>
      <c r="P290" s="19"/>
      <c r="Q290" s="19"/>
      <c r="R290" s="19"/>
      <c r="S290" s="19"/>
      <c r="T290" s="19"/>
    </row>
    <row r="291" spans="1:20" s="18" customFormat="1" ht="15" customHeight="1">
      <c r="A291" s="22"/>
      <c r="B291" s="23"/>
      <c r="C291" s="24"/>
      <c r="D291" s="25"/>
      <c r="E291" s="24"/>
      <c r="F291" s="26"/>
      <c r="H291" s="19"/>
      <c r="I291" s="19"/>
      <c r="J291" s="19"/>
      <c r="K291" s="19"/>
      <c r="L291" s="19"/>
      <c r="M291" s="19"/>
      <c r="N291" s="19"/>
      <c r="O291" s="19"/>
      <c r="P291" s="19"/>
      <c r="Q291" s="19"/>
      <c r="R291" s="19"/>
      <c r="S291" s="19"/>
      <c r="T291" s="19"/>
    </row>
    <row r="292" spans="1:20" s="18" customFormat="1" ht="15" customHeight="1">
      <c r="A292" s="22"/>
      <c r="B292" s="23"/>
      <c r="C292" s="24"/>
      <c r="D292" s="25"/>
      <c r="E292" s="24"/>
      <c r="F292" s="26"/>
      <c r="H292" s="19"/>
      <c r="I292" s="19"/>
      <c r="J292" s="19"/>
      <c r="K292" s="19"/>
      <c r="L292" s="19"/>
      <c r="M292" s="19"/>
      <c r="N292" s="19"/>
      <c r="O292" s="19"/>
      <c r="P292" s="19"/>
      <c r="Q292" s="19"/>
      <c r="R292" s="19"/>
      <c r="S292" s="19"/>
      <c r="T292" s="19"/>
    </row>
    <row r="293" spans="1:20" s="18" customFormat="1" ht="15" customHeight="1">
      <c r="A293" s="22"/>
      <c r="B293" s="23"/>
      <c r="C293" s="24"/>
      <c r="D293" s="25"/>
      <c r="E293" s="24"/>
      <c r="F293" s="26"/>
      <c r="H293" s="19"/>
      <c r="I293" s="19"/>
      <c r="J293" s="19"/>
      <c r="K293" s="19"/>
      <c r="L293" s="19"/>
      <c r="M293" s="19"/>
      <c r="N293" s="19"/>
      <c r="O293" s="19"/>
      <c r="P293" s="19"/>
      <c r="Q293" s="19"/>
      <c r="R293" s="19"/>
      <c r="S293" s="19"/>
      <c r="T293" s="19"/>
    </row>
    <row r="294" spans="1:20" s="18" customFormat="1" ht="15" customHeight="1">
      <c r="A294" s="22"/>
      <c r="B294" s="23"/>
      <c r="C294" s="24"/>
      <c r="D294" s="25"/>
      <c r="E294" s="24"/>
      <c r="F294" s="26"/>
      <c r="H294" s="19"/>
      <c r="I294" s="19"/>
      <c r="J294" s="19"/>
      <c r="K294" s="19"/>
      <c r="L294" s="19"/>
      <c r="M294" s="19"/>
      <c r="N294" s="19"/>
      <c r="O294" s="19"/>
      <c r="P294" s="19"/>
      <c r="Q294" s="19"/>
      <c r="R294" s="19"/>
      <c r="S294" s="19"/>
      <c r="T294" s="19"/>
    </row>
    <row r="295" spans="1:20" s="18" customFormat="1" ht="15" customHeight="1">
      <c r="A295" s="22"/>
      <c r="B295" s="23"/>
      <c r="C295" s="24"/>
      <c r="D295" s="25"/>
      <c r="E295" s="24"/>
      <c r="F295" s="26"/>
      <c r="H295" s="19"/>
      <c r="I295" s="19"/>
      <c r="J295" s="19"/>
      <c r="K295" s="19"/>
      <c r="L295" s="19"/>
      <c r="M295" s="19"/>
      <c r="N295" s="19"/>
      <c r="O295" s="19"/>
      <c r="P295" s="19"/>
      <c r="Q295" s="19"/>
      <c r="R295" s="19"/>
      <c r="S295" s="19"/>
      <c r="T295" s="19"/>
    </row>
    <row r="296" spans="1:20" s="18" customFormat="1" ht="15" customHeight="1">
      <c r="A296" s="22"/>
      <c r="B296" s="23"/>
      <c r="C296" s="24"/>
      <c r="D296" s="25"/>
      <c r="E296" s="24"/>
      <c r="F296" s="26"/>
      <c r="H296" s="19"/>
      <c r="I296" s="19"/>
      <c r="J296" s="19"/>
      <c r="K296" s="19"/>
      <c r="L296" s="19"/>
      <c r="M296" s="19"/>
      <c r="N296" s="19"/>
      <c r="O296" s="19"/>
      <c r="P296" s="19"/>
      <c r="Q296" s="19"/>
      <c r="R296" s="19"/>
      <c r="S296" s="19"/>
      <c r="T296" s="19"/>
    </row>
    <row r="297" spans="1:20" s="18" customFormat="1" ht="15" customHeight="1">
      <c r="A297" s="22"/>
      <c r="B297" s="23"/>
      <c r="C297" s="24"/>
      <c r="D297" s="25"/>
      <c r="E297" s="24"/>
      <c r="F297" s="26"/>
      <c r="H297" s="19"/>
      <c r="I297" s="19"/>
      <c r="J297" s="19"/>
      <c r="K297" s="19"/>
      <c r="L297" s="19"/>
      <c r="M297" s="19"/>
      <c r="N297" s="19"/>
      <c r="O297" s="19"/>
      <c r="P297" s="19"/>
      <c r="Q297" s="19"/>
      <c r="R297" s="19"/>
      <c r="S297" s="19"/>
      <c r="T297" s="19"/>
    </row>
    <row r="298" spans="1:20" s="18" customFormat="1" ht="15" customHeight="1">
      <c r="A298" s="22"/>
      <c r="B298" s="23"/>
      <c r="C298" s="24"/>
      <c r="D298" s="25"/>
      <c r="E298" s="24"/>
      <c r="F298" s="26"/>
      <c r="H298" s="19"/>
      <c r="I298" s="19"/>
      <c r="J298" s="19"/>
      <c r="K298" s="19"/>
      <c r="L298" s="19"/>
      <c r="M298" s="19"/>
      <c r="N298" s="19"/>
      <c r="O298" s="19"/>
      <c r="P298" s="19"/>
      <c r="Q298" s="19"/>
      <c r="R298" s="19"/>
      <c r="S298" s="19"/>
      <c r="T298" s="19"/>
    </row>
    <row r="299" spans="1:20" s="18" customFormat="1" ht="15" customHeight="1">
      <c r="A299" s="22"/>
      <c r="B299" s="23"/>
      <c r="C299" s="24"/>
      <c r="D299" s="25"/>
      <c r="E299" s="24"/>
      <c r="F299" s="26"/>
      <c r="H299" s="19"/>
      <c r="I299" s="19"/>
      <c r="J299" s="19"/>
      <c r="K299" s="19"/>
      <c r="L299" s="19"/>
      <c r="M299" s="19"/>
      <c r="N299" s="19"/>
      <c r="O299" s="19"/>
      <c r="P299" s="19"/>
      <c r="Q299" s="19"/>
      <c r="R299" s="19"/>
      <c r="S299" s="19"/>
      <c r="T299" s="19"/>
    </row>
    <row r="300" spans="1:20" s="18" customFormat="1" ht="15" customHeight="1">
      <c r="A300" s="22"/>
      <c r="B300" s="23"/>
      <c r="C300" s="24"/>
      <c r="D300" s="25"/>
      <c r="E300" s="24"/>
      <c r="F300" s="26"/>
      <c r="H300" s="19"/>
      <c r="I300" s="19"/>
      <c r="J300" s="19"/>
      <c r="K300" s="19"/>
      <c r="L300" s="19"/>
      <c r="M300" s="19"/>
      <c r="N300" s="19"/>
      <c r="O300" s="19"/>
      <c r="P300" s="19"/>
      <c r="Q300" s="19"/>
      <c r="R300" s="19"/>
      <c r="S300" s="19"/>
      <c r="T300" s="19"/>
    </row>
    <row r="301" spans="1:20" s="18" customFormat="1" ht="15" customHeight="1">
      <c r="A301" s="22"/>
      <c r="B301" s="23"/>
      <c r="C301" s="24"/>
      <c r="D301" s="25"/>
      <c r="E301" s="24"/>
      <c r="F301" s="26"/>
      <c r="H301" s="19"/>
      <c r="I301" s="19"/>
      <c r="J301" s="19"/>
      <c r="K301" s="19"/>
      <c r="L301" s="19"/>
      <c r="M301" s="19"/>
      <c r="N301" s="19"/>
      <c r="O301" s="19"/>
      <c r="P301" s="19"/>
      <c r="Q301" s="19"/>
      <c r="R301" s="19"/>
      <c r="S301" s="19"/>
      <c r="T301" s="19"/>
    </row>
    <row r="302" spans="1:20" s="18" customFormat="1" ht="15" customHeight="1">
      <c r="A302" s="22"/>
      <c r="B302" s="23"/>
      <c r="C302" s="24"/>
      <c r="D302" s="25"/>
      <c r="E302" s="24"/>
      <c r="F302" s="26"/>
      <c r="H302" s="19"/>
      <c r="I302" s="19"/>
      <c r="J302" s="19"/>
      <c r="K302" s="19"/>
      <c r="L302" s="19"/>
      <c r="M302" s="19"/>
      <c r="N302" s="19"/>
      <c r="O302" s="19"/>
      <c r="P302" s="19"/>
      <c r="Q302" s="19"/>
      <c r="R302" s="19"/>
      <c r="S302" s="19"/>
      <c r="T302" s="19"/>
    </row>
    <row r="303" spans="1:20" s="18" customFormat="1" ht="15" customHeight="1">
      <c r="A303" s="22"/>
      <c r="B303" s="23"/>
      <c r="C303" s="24"/>
      <c r="D303" s="25"/>
      <c r="E303" s="24"/>
      <c r="F303" s="26"/>
      <c r="H303" s="19"/>
      <c r="I303" s="19"/>
      <c r="J303" s="19"/>
      <c r="K303" s="19"/>
      <c r="L303" s="19"/>
      <c r="M303" s="19"/>
      <c r="N303" s="19"/>
      <c r="O303" s="19"/>
      <c r="P303" s="19"/>
      <c r="Q303" s="19"/>
      <c r="R303" s="19"/>
      <c r="S303" s="19"/>
      <c r="T303" s="19"/>
    </row>
    <row r="304" spans="1:20" s="18" customFormat="1" ht="15" customHeight="1">
      <c r="A304" s="22"/>
      <c r="B304" s="23"/>
      <c r="C304" s="24"/>
      <c r="D304" s="25"/>
      <c r="E304" s="24"/>
      <c r="F304" s="26"/>
      <c r="H304" s="19"/>
      <c r="I304" s="19"/>
      <c r="J304" s="19"/>
      <c r="K304" s="19"/>
      <c r="L304" s="19"/>
      <c r="M304" s="19"/>
      <c r="N304" s="19"/>
      <c r="O304" s="19"/>
      <c r="P304" s="19"/>
      <c r="Q304" s="19"/>
      <c r="R304" s="19"/>
      <c r="S304" s="19"/>
      <c r="T304" s="19"/>
    </row>
    <row r="305" spans="1:20" s="18" customFormat="1" ht="15" customHeight="1">
      <c r="A305" s="22"/>
      <c r="B305" s="23"/>
      <c r="C305" s="24"/>
      <c r="D305" s="25"/>
      <c r="E305" s="24"/>
      <c r="F305" s="26"/>
      <c r="H305" s="19"/>
      <c r="I305" s="19"/>
      <c r="J305" s="19"/>
      <c r="K305" s="19"/>
      <c r="L305" s="19"/>
      <c r="M305" s="19"/>
      <c r="N305" s="19"/>
      <c r="O305" s="19"/>
      <c r="P305" s="19"/>
      <c r="Q305" s="19"/>
      <c r="R305" s="19"/>
      <c r="S305" s="19"/>
      <c r="T305" s="19"/>
    </row>
    <row r="306" spans="1:20" s="18" customFormat="1" ht="15" customHeight="1">
      <c r="A306" s="22"/>
      <c r="B306" s="23"/>
      <c r="C306" s="24"/>
      <c r="D306" s="25"/>
      <c r="E306" s="24"/>
      <c r="F306" s="26"/>
      <c r="H306" s="19"/>
      <c r="I306" s="19"/>
      <c r="J306" s="19"/>
      <c r="K306" s="19"/>
      <c r="L306" s="19"/>
      <c r="M306" s="19"/>
      <c r="N306" s="19"/>
      <c r="O306" s="19"/>
      <c r="P306" s="19"/>
      <c r="Q306" s="19"/>
      <c r="R306" s="19"/>
      <c r="S306" s="19"/>
      <c r="T306" s="19"/>
    </row>
    <row r="307" spans="1:20" s="18" customFormat="1" ht="15" customHeight="1">
      <c r="A307" s="22"/>
      <c r="B307" s="23"/>
      <c r="C307" s="24"/>
      <c r="D307" s="25"/>
      <c r="E307" s="24"/>
      <c r="F307" s="26"/>
      <c r="H307" s="19"/>
      <c r="I307" s="19"/>
      <c r="J307" s="19"/>
      <c r="K307" s="19"/>
      <c r="L307" s="19"/>
      <c r="M307" s="19"/>
      <c r="N307" s="19"/>
      <c r="O307" s="19"/>
      <c r="P307" s="19"/>
      <c r="Q307" s="19"/>
      <c r="R307" s="19"/>
      <c r="S307" s="19"/>
      <c r="T307" s="19"/>
    </row>
    <row r="308" spans="1:20" s="18" customFormat="1" ht="15" customHeight="1">
      <c r="A308" s="22"/>
      <c r="B308" s="23"/>
      <c r="C308" s="24"/>
      <c r="D308" s="25"/>
      <c r="E308" s="24"/>
      <c r="F308" s="26"/>
      <c r="H308" s="19"/>
      <c r="I308" s="19"/>
      <c r="J308" s="19"/>
      <c r="K308" s="19"/>
      <c r="L308" s="19"/>
      <c r="M308" s="19"/>
      <c r="N308" s="19"/>
      <c r="O308" s="19"/>
      <c r="P308" s="19"/>
      <c r="Q308" s="19"/>
      <c r="R308" s="19"/>
      <c r="S308" s="19"/>
      <c r="T308" s="19"/>
    </row>
    <row r="309" spans="1:20" s="18" customFormat="1" ht="15" customHeight="1">
      <c r="A309" s="22"/>
      <c r="B309" s="23"/>
      <c r="C309" s="24"/>
      <c r="D309" s="25"/>
      <c r="E309" s="24"/>
      <c r="F309" s="26"/>
      <c r="H309" s="19"/>
      <c r="I309" s="19"/>
      <c r="J309" s="19"/>
      <c r="K309" s="19"/>
      <c r="L309" s="19"/>
      <c r="M309" s="19"/>
      <c r="N309" s="19"/>
      <c r="O309" s="19"/>
      <c r="P309" s="19"/>
      <c r="Q309" s="19"/>
      <c r="R309" s="19"/>
      <c r="S309" s="19"/>
      <c r="T309" s="19"/>
    </row>
    <row r="310" spans="1:20" s="18" customFormat="1" ht="15" customHeight="1">
      <c r="A310" s="22"/>
      <c r="B310" s="23"/>
      <c r="C310" s="24"/>
      <c r="D310" s="25"/>
      <c r="E310" s="24"/>
      <c r="F310" s="26"/>
      <c r="H310" s="19"/>
      <c r="I310" s="19"/>
      <c r="J310" s="19"/>
      <c r="K310" s="19"/>
      <c r="L310" s="19"/>
      <c r="M310" s="19"/>
      <c r="N310" s="19"/>
      <c r="O310" s="19"/>
      <c r="P310" s="19"/>
      <c r="Q310" s="19"/>
      <c r="R310" s="19"/>
      <c r="S310" s="19"/>
      <c r="T310" s="19"/>
    </row>
    <row r="311" spans="1:20" s="18" customFormat="1" ht="15" customHeight="1">
      <c r="A311" s="22"/>
      <c r="B311" s="23"/>
      <c r="C311" s="24"/>
      <c r="D311" s="25"/>
      <c r="E311" s="24"/>
      <c r="F311" s="26"/>
      <c r="H311" s="19"/>
      <c r="I311" s="19"/>
      <c r="J311" s="19"/>
      <c r="K311" s="19"/>
      <c r="L311" s="19"/>
      <c r="M311" s="19"/>
      <c r="N311" s="19"/>
      <c r="O311" s="19"/>
      <c r="P311" s="19"/>
      <c r="Q311" s="19"/>
      <c r="R311" s="19"/>
      <c r="S311" s="19"/>
      <c r="T311" s="19"/>
    </row>
    <row r="312" spans="1:20" s="18" customFormat="1" ht="15" customHeight="1">
      <c r="A312" s="22"/>
      <c r="B312" s="23"/>
      <c r="C312" s="24"/>
      <c r="D312" s="25"/>
      <c r="E312" s="24"/>
      <c r="F312" s="26"/>
      <c r="H312" s="19"/>
      <c r="I312" s="19"/>
      <c r="J312" s="19"/>
      <c r="K312" s="19"/>
      <c r="L312" s="19"/>
      <c r="M312" s="19"/>
      <c r="N312" s="19"/>
      <c r="O312" s="19"/>
      <c r="P312" s="19"/>
      <c r="Q312" s="19"/>
      <c r="R312" s="19"/>
      <c r="S312" s="19"/>
      <c r="T312" s="19"/>
    </row>
    <row r="313" spans="1:20" s="18" customFormat="1" ht="15" customHeight="1">
      <c r="A313" s="22"/>
      <c r="B313" s="23"/>
      <c r="C313" s="24"/>
      <c r="D313" s="25"/>
      <c r="E313" s="24"/>
      <c r="F313" s="26"/>
      <c r="H313" s="19"/>
      <c r="I313" s="19"/>
      <c r="J313" s="19"/>
      <c r="K313" s="19"/>
      <c r="L313" s="19"/>
      <c r="M313" s="19"/>
      <c r="N313" s="19"/>
      <c r="O313" s="19"/>
      <c r="P313" s="19"/>
      <c r="Q313" s="19"/>
      <c r="R313" s="19"/>
      <c r="S313" s="19"/>
      <c r="T313" s="19"/>
    </row>
    <row r="314" spans="1:20" s="18" customFormat="1" ht="15" customHeight="1">
      <c r="A314" s="22"/>
      <c r="B314" s="23"/>
      <c r="C314" s="24"/>
      <c r="D314" s="25"/>
      <c r="E314" s="24"/>
      <c r="F314" s="26"/>
      <c r="H314" s="19"/>
      <c r="I314" s="19"/>
      <c r="J314" s="19"/>
      <c r="K314" s="19"/>
      <c r="L314" s="19"/>
      <c r="M314" s="19"/>
      <c r="N314" s="19"/>
      <c r="O314" s="19"/>
      <c r="P314" s="19"/>
      <c r="Q314" s="19"/>
      <c r="R314" s="19"/>
      <c r="S314" s="19"/>
      <c r="T314" s="19"/>
    </row>
    <row r="315" spans="1:20" s="18" customFormat="1" ht="15" customHeight="1">
      <c r="A315" s="22"/>
      <c r="B315" s="23"/>
      <c r="C315" s="24"/>
      <c r="D315" s="25"/>
      <c r="E315" s="24"/>
      <c r="F315" s="26"/>
      <c r="H315" s="19"/>
      <c r="I315" s="19"/>
      <c r="J315" s="19"/>
      <c r="K315" s="19"/>
      <c r="L315" s="19"/>
      <c r="M315" s="19"/>
      <c r="N315" s="19"/>
      <c r="O315" s="19"/>
      <c r="P315" s="19"/>
      <c r="Q315" s="19"/>
      <c r="R315" s="19"/>
      <c r="S315" s="19"/>
      <c r="T315" s="19"/>
    </row>
    <row r="316" spans="1:20" s="18" customFormat="1" ht="15" customHeight="1">
      <c r="A316" s="22"/>
      <c r="B316" s="23"/>
      <c r="C316" s="24"/>
      <c r="D316" s="25"/>
      <c r="E316" s="24"/>
      <c r="F316" s="26"/>
      <c r="H316" s="19"/>
      <c r="I316" s="19"/>
      <c r="J316" s="19"/>
      <c r="K316" s="19"/>
      <c r="L316" s="19"/>
      <c r="M316" s="19"/>
      <c r="N316" s="19"/>
      <c r="O316" s="19"/>
      <c r="P316" s="19"/>
      <c r="Q316" s="19"/>
      <c r="R316" s="19"/>
      <c r="S316" s="19"/>
      <c r="T316" s="19"/>
    </row>
    <row r="317" spans="1:20" s="18" customFormat="1" ht="15" customHeight="1">
      <c r="A317" s="22"/>
      <c r="B317" s="23"/>
      <c r="C317" s="24"/>
      <c r="D317" s="25"/>
      <c r="E317" s="24"/>
      <c r="F317" s="26"/>
      <c r="H317" s="19"/>
      <c r="I317" s="19"/>
      <c r="J317" s="19"/>
      <c r="K317" s="19"/>
      <c r="L317" s="19"/>
      <c r="M317" s="19"/>
      <c r="N317" s="19"/>
      <c r="O317" s="19"/>
      <c r="P317" s="19"/>
      <c r="Q317" s="19"/>
      <c r="R317" s="19"/>
      <c r="S317" s="19"/>
      <c r="T317" s="19"/>
    </row>
    <row r="318" spans="1:20" s="18" customFormat="1" ht="15" customHeight="1">
      <c r="A318" s="22"/>
      <c r="B318" s="23"/>
      <c r="C318" s="24"/>
      <c r="D318" s="25"/>
      <c r="E318" s="24"/>
      <c r="F318" s="26"/>
      <c r="H318" s="19"/>
      <c r="I318" s="19"/>
      <c r="J318" s="19"/>
      <c r="K318" s="19"/>
      <c r="L318" s="19"/>
      <c r="M318" s="19"/>
      <c r="N318" s="19"/>
      <c r="O318" s="19"/>
      <c r="P318" s="19"/>
      <c r="Q318" s="19"/>
      <c r="R318" s="19"/>
      <c r="S318" s="19"/>
      <c r="T318" s="19"/>
    </row>
    <row r="319" spans="1:20" s="18" customFormat="1" ht="15" customHeight="1">
      <c r="A319" s="22"/>
      <c r="B319" s="23"/>
      <c r="C319" s="24"/>
      <c r="D319" s="25"/>
      <c r="E319" s="24"/>
      <c r="F319" s="26"/>
      <c r="H319" s="19"/>
      <c r="I319" s="19"/>
      <c r="J319" s="19"/>
      <c r="K319" s="19"/>
      <c r="L319" s="19"/>
      <c r="M319" s="19"/>
      <c r="N319" s="19"/>
      <c r="O319" s="19"/>
      <c r="P319" s="19"/>
      <c r="Q319" s="19"/>
      <c r="R319" s="19"/>
      <c r="S319" s="19"/>
      <c r="T319" s="19"/>
    </row>
    <row r="320" spans="1:20" s="18" customFormat="1" ht="15" customHeight="1">
      <c r="A320" s="22"/>
      <c r="B320" s="23"/>
      <c r="C320" s="24"/>
      <c r="D320" s="25"/>
      <c r="E320" s="24"/>
      <c r="F320" s="26"/>
      <c r="H320" s="19"/>
      <c r="I320" s="19"/>
      <c r="J320" s="19"/>
      <c r="K320" s="19"/>
      <c r="L320" s="19"/>
      <c r="M320" s="19"/>
      <c r="N320" s="19"/>
      <c r="O320" s="19"/>
      <c r="P320" s="19"/>
      <c r="Q320" s="19"/>
      <c r="R320" s="19"/>
      <c r="S320" s="19"/>
      <c r="T320" s="19"/>
    </row>
    <row r="321" spans="1:20" s="18" customFormat="1" ht="15" customHeight="1">
      <c r="A321" s="22"/>
      <c r="B321" s="23"/>
      <c r="C321" s="24"/>
      <c r="D321" s="25"/>
      <c r="E321" s="24"/>
      <c r="F321" s="26"/>
      <c r="H321" s="19"/>
      <c r="I321" s="19"/>
      <c r="J321" s="19"/>
      <c r="K321" s="19"/>
      <c r="L321" s="19"/>
      <c r="M321" s="19"/>
      <c r="N321" s="19"/>
      <c r="O321" s="19"/>
      <c r="P321" s="19"/>
      <c r="Q321" s="19"/>
      <c r="R321" s="19"/>
      <c r="S321" s="19"/>
      <c r="T321" s="19"/>
    </row>
    <row r="322" spans="1:20" s="18" customFormat="1" ht="15" customHeight="1">
      <c r="A322" s="22"/>
      <c r="B322" s="23"/>
      <c r="C322" s="24"/>
      <c r="D322" s="25"/>
      <c r="E322" s="24"/>
      <c r="F322" s="26"/>
      <c r="H322" s="19"/>
      <c r="I322" s="19"/>
      <c r="J322" s="19"/>
      <c r="K322" s="19"/>
      <c r="L322" s="19"/>
      <c r="M322" s="19"/>
      <c r="N322" s="19"/>
      <c r="O322" s="19"/>
      <c r="P322" s="19"/>
      <c r="Q322" s="19"/>
      <c r="R322" s="19"/>
      <c r="S322" s="19"/>
      <c r="T322" s="19"/>
    </row>
    <row r="323" spans="1:20" s="18" customFormat="1" ht="15" customHeight="1">
      <c r="A323" s="22"/>
      <c r="B323" s="23"/>
      <c r="C323" s="24"/>
      <c r="D323" s="25"/>
      <c r="E323" s="24"/>
      <c r="F323" s="26"/>
      <c r="H323" s="19"/>
      <c r="I323" s="19"/>
      <c r="J323" s="19"/>
      <c r="K323" s="19"/>
      <c r="L323" s="19"/>
      <c r="M323" s="19"/>
      <c r="N323" s="19"/>
      <c r="O323" s="19"/>
      <c r="P323" s="19"/>
      <c r="Q323" s="19"/>
      <c r="R323" s="19"/>
      <c r="S323" s="19"/>
      <c r="T323" s="19"/>
    </row>
    <row r="324" spans="1:20" s="18" customFormat="1" ht="15" customHeight="1">
      <c r="A324" s="22"/>
      <c r="B324" s="23"/>
      <c r="C324" s="24"/>
      <c r="D324" s="25"/>
      <c r="E324" s="24"/>
      <c r="F324" s="26"/>
      <c r="H324" s="19"/>
      <c r="I324" s="19"/>
      <c r="J324" s="19"/>
      <c r="K324" s="19"/>
      <c r="L324" s="19"/>
      <c r="M324" s="19"/>
      <c r="N324" s="19"/>
      <c r="O324" s="19"/>
      <c r="P324" s="19"/>
      <c r="Q324" s="19"/>
      <c r="R324" s="19"/>
      <c r="S324" s="19"/>
      <c r="T324" s="19"/>
    </row>
    <row r="325" spans="1:20" s="18" customFormat="1" ht="15" customHeight="1">
      <c r="A325" s="22"/>
      <c r="B325" s="23"/>
      <c r="C325" s="24"/>
      <c r="D325" s="25"/>
      <c r="E325" s="24"/>
      <c r="F325" s="26"/>
      <c r="H325" s="19"/>
      <c r="I325" s="19"/>
      <c r="J325" s="19"/>
      <c r="K325" s="19"/>
      <c r="L325" s="19"/>
      <c r="M325" s="19"/>
      <c r="N325" s="19"/>
      <c r="O325" s="19"/>
      <c r="P325" s="19"/>
      <c r="Q325" s="19"/>
      <c r="R325" s="19"/>
      <c r="S325" s="19"/>
      <c r="T325" s="19"/>
    </row>
    <row r="326" spans="1:20" s="18" customFormat="1" ht="15" customHeight="1">
      <c r="A326" s="22"/>
      <c r="B326" s="23"/>
      <c r="C326" s="24"/>
      <c r="D326" s="25"/>
      <c r="E326" s="24"/>
      <c r="F326" s="26"/>
      <c r="H326" s="19"/>
      <c r="I326" s="19"/>
      <c r="J326" s="19"/>
      <c r="K326" s="19"/>
      <c r="L326" s="19"/>
      <c r="M326" s="19"/>
      <c r="N326" s="19"/>
      <c r="O326" s="19"/>
      <c r="P326" s="19"/>
      <c r="Q326" s="19"/>
      <c r="R326" s="19"/>
      <c r="S326" s="19"/>
      <c r="T326" s="19"/>
    </row>
    <row r="327" spans="1:20" s="18" customFormat="1" ht="15" customHeight="1">
      <c r="A327" s="22"/>
      <c r="B327" s="23"/>
      <c r="C327" s="24"/>
      <c r="D327" s="25"/>
      <c r="E327" s="24"/>
      <c r="F327" s="26"/>
      <c r="H327" s="19"/>
      <c r="I327" s="19"/>
      <c r="J327" s="19"/>
      <c r="K327" s="19"/>
      <c r="L327" s="19"/>
      <c r="M327" s="19"/>
      <c r="N327" s="19"/>
      <c r="O327" s="19"/>
      <c r="P327" s="19"/>
      <c r="Q327" s="19"/>
      <c r="R327" s="19"/>
      <c r="S327" s="19"/>
      <c r="T327" s="19"/>
    </row>
    <row r="328" spans="1:20" s="18" customFormat="1" ht="15" customHeight="1">
      <c r="A328" s="22"/>
      <c r="B328" s="23"/>
      <c r="C328" s="24"/>
      <c r="D328" s="25"/>
      <c r="E328" s="24"/>
      <c r="F328" s="26"/>
      <c r="H328" s="19"/>
      <c r="I328" s="19"/>
      <c r="J328" s="19"/>
      <c r="K328" s="19"/>
      <c r="L328" s="19"/>
      <c r="M328" s="19"/>
      <c r="N328" s="19"/>
      <c r="O328" s="19"/>
      <c r="P328" s="19"/>
      <c r="Q328" s="19"/>
      <c r="R328" s="19"/>
      <c r="S328" s="19"/>
      <c r="T328" s="19"/>
    </row>
    <row r="329" spans="1:20" s="18" customFormat="1" ht="15" customHeight="1">
      <c r="A329" s="22"/>
      <c r="B329" s="23"/>
      <c r="C329" s="24"/>
      <c r="D329" s="25"/>
      <c r="E329" s="24"/>
      <c r="F329" s="26"/>
      <c r="H329" s="19"/>
      <c r="I329" s="19"/>
      <c r="J329" s="19"/>
      <c r="K329" s="19"/>
      <c r="L329" s="19"/>
      <c r="M329" s="19"/>
      <c r="N329" s="19"/>
      <c r="O329" s="19"/>
      <c r="P329" s="19"/>
      <c r="Q329" s="19"/>
      <c r="R329" s="19"/>
      <c r="S329" s="19"/>
      <c r="T329" s="19"/>
    </row>
    <row r="330" spans="1:20" s="18" customFormat="1" ht="15" customHeight="1">
      <c r="A330" s="22"/>
      <c r="B330" s="23"/>
      <c r="C330" s="24"/>
      <c r="D330" s="25"/>
      <c r="E330" s="24"/>
      <c r="F330" s="26"/>
      <c r="H330" s="19"/>
      <c r="I330" s="19"/>
      <c r="J330" s="19"/>
      <c r="K330" s="19"/>
      <c r="L330" s="19"/>
      <c r="M330" s="19"/>
      <c r="N330" s="19"/>
      <c r="O330" s="19"/>
      <c r="P330" s="19"/>
      <c r="Q330" s="19"/>
      <c r="R330" s="19"/>
      <c r="S330" s="19"/>
      <c r="T330" s="19"/>
    </row>
    <row r="331" spans="1:20" s="18" customFormat="1" ht="15" customHeight="1">
      <c r="A331" s="22"/>
      <c r="B331" s="23"/>
      <c r="C331" s="24"/>
      <c r="D331" s="25"/>
      <c r="E331" s="24"/>
      <c r="F331" s="26"/>
      <c r="H331" s="19"/>
      <c r="I331" s="19"/>
      <c r="J331" s="19"/>
      <c r="K331" s="19"/>
      <c r="L331" s="19"/>
      <c r="M331" s="19"/>
      <c r="N331" s="19"/>
      <c r="O331" s="19"/>
      <c r="P331" s="19"/>
      <c r="Q331" s="19"/>
      <c r="R331" s="19"/>
      <c r="S331" s="19"/>
      <c r="T331" s="19"/>
    </row>
    <row r="332" spans="1:20" s="18" customFormat="1" ht="15" customHeight="1">
      <c r="A332" s="22"/>
      <c r="B332" s="23"/>
      <c r="C332" s="24"/>
      <c r="D332" s="25"/>
      <c r="E332" s="24"/>
      <c r="F332" s="26"/>
      <c r="H332" s="19"/>
      <c r="I332" s="19"/>
      <c r="J332" s="19"/>
      <c r="K332" s="19"/>
      <c r="L332" s="19"/>
      <c r="M332" s="19"/>
      <c r="N332" s="19"/>
      <c r="O332" s="19"/>
      <c r="P332" s="19"/>
      <c r="Q332" s="19"/>
      <c r="R332" s="19"/>
      <c r="S332" s="19"/>
      <c r="T332" s="19"/>
    </row>
    <row r="333" spans="1:20" s="18" customFormat="1" ht="15" customHeight="1">
      <c r="A333" s="22"/>
      <c r="B333" s="23"/>
      <c r="C333" s="24"/>
      <c r="D333" s="25"/>
      <c r="E333" s="24"/>
      <c r="F333" s="26"/>
      <c r="H333" s="19"/>
      <c r="I333" s="19"/>
      <c r="J333" s="19"/>
      <c r="K333" s="19"/>
      <c r="L333" s="19"/>
      <c r="M333" s="19"/>
      <c r="N333" s="19"/>
      <c r="O333" s="19"/>
      <c r="P333" s="19"/>
      <c r="Q333" s="19"/>
      <c r="R333" s="19"/>
      <c r="S333" s="19"/>
      <c r="T333" s="19"/>
    </row>
    <row r="334" spans="1:20" s="18" customFormat="1" ht="15" customHeight="1">
      <c r="A334" s="22"/>
      <c r="B334" s="23"/>
      <c r="C334" s="24"/>
      <c r="D334" s="25"/>
      <c r="E334" s="24"/>
      <c r="F334" s="26"/>
      <c r="H334" s="19"/>
      <c r="I334" s="19"/>
      <c r="J334" s="19"/>
      <c r="K334" s="19"/>
      <c r="L334" s="19"/>
      <c r="M334" s="19"/>
      <c r="N334" s="19"/>
      <c r="O334" s="19"/>
      <c r="P334" s="19"/>
      <c r="Q334" s="19"/>
      <c r="R334" s="19"/>
      <c r="S334" s="19"/>
      <c r="T334" s="19"/>
    </row>
    <row r="335" spans="1:20" s="18" customFormat="1" ht="15" customHeight="1">
      <c r="A335" s="22"/>
      <c r="B335" s="23"/>
      <c r="C335" s="24"/>
      <c r="D335" s="25"/>
      <c r="E335" s="24"/>
      <c r="F335" s="26"/>
      <c r="H335" s="19"/>
      <c r="I335" s="19"/>
      <c r="J335" s="19"/>
      <c r="K335" s="19"/>
      <c r="L335" s="19"/>
      <c r="M335" s="19"/>
      <c r="N335" s="19"/>
      <c r="O335" s="19"/>
      <c r="P335" s="19"/>
      <c r="Q335" s="19"/>
      <c r="R335" s="19"/>
      <c r="S335" s="19"/>
      <c r="T335" s="19"/>
    </row>
    <row r="336" spans="1:20" s="18" customFormat="1" ht="15" customHeight="1">
      <c r="A336" s="22"/>
      <c r="B336" s="23"/>
      <c r="C336" s="24"/>
      <c r="D336" s="25"/>
      <c r="E336" s="24"/>
      <c r="F336" s="26"/>
      <c r="H336" s="19"/>
      <c r="I336" s="19"/>
      <c r="J336" s="19"/>
      <c r="K336" s="19"/>
      <c r="L336" s="19"/>
      <c r="M336" s="19"/>
      <c r="N336" s="19"/>
      <c r="O336" s="19"/>
      <c r="P336" s="19"/>
      <c r="Q336" s="19"/>
      <c r="R336" s="19"/>
      <c r="S336" s="19"/>
      <c r="T336" s="19"/>
    </row>
    <row r="337" spans="1:20" s="18" customFormat="1" ht="15" customHeight="1">
      <c r="A337" s="22"/>
      <c r="B337" s="23"/>
      <c r="C337" s="24"/>
      <c r="D337" s="25"/>
      <c r="E337" s="24"/>
      <c r="F337" s="26"/>
      <c r="H337" s="19"/>
      <c r="I337" s="19"/>
      <c r="J337" s="19"/>
      <c r="K337" s="19"/>
      <c r="L337" s="19"/>
      <c r="M337" s="19"/>
      <c r="N337" s="19"/>
      <c r="O337" s="19"/>
      <c r="P337" s="19"/>
      <c r="Q337" s="19"/>
      <c r="R337" s="19"/>
      <c r="S337" s="19"/>
      <c r="T337" s="19"/>
    </row>
    <row r="338" spans="1:20" s="18" customFormat="1" ht="15" customHeight="1">
      <c r="A338" s="22"/>
      <c r="B338" s="23"/>
      <c r="C338" s="24"/>
      <c r="D338" s="25"/>
      <c r="E338" s="24"/>
      <c r="F338" s="26"/>
      <c r="H338" s="19"/>
      <c r="I338" s="19"/>
      <c r="J338" s="19"/>
      <c r="K338" s="19"/>
      <c r="L338" s="19"/>
      <c r="M338" s="19"/>
      <c r="N338" s="19"/>
      <c r="O338" s="19"/>
      <c r="P338" s="19"/>
      <c r="Q338" s="19"/>
      <c r="R338" s="19"/>
      <c r="S338" s="19"/>
      <c r="T338" s="19"/>
    </row>
    <row r="339" spans="1:20" s="18" customFormat="1" ht="15" customHeight="1">
      <c r="A339" s="22"/>
      <c r="B339" s="23"/>
      <c r="C339" s="24"/>
      <c r="D339" s="25"/>
      <c r="E339" s="24"/>
      <c r="F339" s="26"/>
      <c r="H339" s="19"/>
      <c r="I339" s="19"/>
      <c r="J339" s="19"/>
      <c r="K339" s="19"/>
      <c r="L339" s="19"/>
      <c r="M339" s="19"/>
      <c r="N339" s="19"/>
      <c r="O339" s="19"/>
      <c r="P339" s="19"/>
      <c r="Q339" s="19"/>
      <c r="R339" s="19"/>
      <c r="S339" s="19"/>
      <c r="T339" s="19"/>
    </row>
    <row r="340" spans="1:20" s="18" customFormat="1" ht="15" customHeight="1">
      <c r="A340" s="22"/>
      <c r="B340" s="23"/>
      <c r="C340" s="24"/>
      <c r="D340" s="25"/>
      <c r="E340" s="24"/>
      <c r="F340" s="26"/>
      <c r="H340" s="19"/>
      <c r="I340" s="19"/>
      <c r="J340" s="19"/>
      <c r="K340" s="19"/>
      <c r="L340" s="19"/>
      <c r="M340" s="19"/>
      <c r="N340" s="19"/>
      <c r="O340" s="19"/>
      <c r="P340" s="19"/>
      <c r="Q340" s="19"/>
      <c r="R340" s="19"/>
      <c r="S340" s="19"/>
      <c r="T340" s="19"/>
    </row>
    <row r="341" spans="1:20" s="18" customFormat="1" ht="15" customHeight="1">
      <c r="A341" s="22"/>
      <c r="B341" s="23"/>
      <c r="C341" s="24"/>
      <c r="D341" s="25"/>
      <c r="E341" s="24"/>
      <c r="F341" s="26"/>
      <c r="H341" s="19"/>
      <c r="I341" s="19"/>
      <c r="J341" s="19"/>
      <c r="K341" s="19"/>
      <c r="L341" s="19"/>
      <c r="M341" s="19"/>
      <c r="N341" s="19"/>
      <c r="O341" s="19"/>
      <c r="P341" s="19"/>
      <c r="Q341" s="19"/>
      <c r="R341" s="19"/>
      <c r="S341" s="19"/>
      <c r="T341" s="19"/>
    </row>
    <row r="342" spans="1:20" s="18" customFormat="1" ht="15" customHeight="1">
      <c r="A342" s="22"/>
      <c r="B342" s="23"/>
      <c r="C342" s="24"/>
      <c r="D342" s="25"/>
      <c r="E342" s="24"/>
      <c r="F342" s="26"/>
      <c r="H342" s="19"/>
      <c r="I342" s="19"/>
      <c r="J342" s="19"/>
      <c r="K342" s="19"/>
      <c r="L342" s="19"/>
      <c r="M342" s="19"/>
      <c r="N342" s="19"/>
      <c r="O342" s="19"/>
      <c r="P342" s="19"/>
      <c r="Q342" s="19"/>
      <c r="R342" s="19"/>
      <c r="S342" s="19"/>
      <c r="T342" s="19"/>
    </row>
    <row r="343" spans="1:20" s="18" customFormat="1" ht="15" customHeight="1">
      <c r="A343" s="22"/>
      <c r="B343" s="23"/>
      <c r="C343" s="24"/>
      <c r="D343" s="25"/>
      <c r="E343" s="24"/>
      <c r="F343" s="26"/>
      <c r="H343" s="19"/>
      <c r="I343" s="19"/>
      <c r="J343" s="19"/>
      <c r="K343" s="19"/>
      <c r="L343" s="19"/>
      <c r="M343" s="19"/>
      <c r="N343" s="19"/>
      <c r="O343" s="19"/>
      <c r="P343" s="19"/>
      <c r="Q343" s="19"/>
      <c r="R343" s="19"/>
      <c r="S343" s="19"/>
      <c r="T343" s="19"/>
    </row>
    <row r="344" spans="1:20" s="18" customFormat="1" ht="15" customHeight="1">
      <c r="A344" s="22"/>
      <c r="B344" s="23"/>
      <c r="C344" s="24"/>
      <c r="D344" s="25"/>
      <c r="E344" s="24"/>
      <c r="F344" s="26"/>
      <c r="H344" s="19"/>
      <c r="I344" s="19"/>
      <c r="J344" s="19"/>
      <c r="K344" s="19"/>
      <c r="L344" s="19"/>
      <c r="M344" s="19"/>
      <c r="N344" s="19"/>
      <c r="O344" s="19"/>
      <c r="P344" s="19"/>
      <c r="Q344" s="19"/>
      <c r="R344" s="19"/>
      <c r="S344" s="19"/>
      <c r="T344" s="19"/>
    </row>
    <row r="345" spans="1:20" s="18" customFormat="1" ht="15" customHeight="1">
      <c r="A345" s="22"/>
      <c r="B345" s="23"/>
      <c r="C345" s="24"/>
      <c r="D345" s="25"/>
      <c r="E345" s="24"/>
      <c r="F345" s="26"/>
      <c r="H345" s="19"/>
      <c r="I345" s="19"/>
      <c r="J345" s="19"/>
      <c r="K345" s="19"/>
      <c r="L345" s="19"/>
      <c r="M345" s="19"/>
      <c r="N345" s="19"/>
      <c r="O345" s="19"/>
      <c r="P345" s="19"/>
      <c r="Q345" s="19"/>
      <c r="R345" s="19"/>
      <c r="S345" s="19"/>
      <c r="T345" s="19"/>
    </row>
    <row r="346" spans="1:20" s="18" customFormat="1" ht="15" customHeight="1">
      <c r="A346" s="22"/>
      <c r="B346" s="23"/>
      <c r="C346" s="24"/>
      <c r="D346" s="25"/>
      <c r="E346" s="24"/>
      <c r="F346" s="26"/>
      <c r="H346" s="19"/>
      <c r="I346" s="19"/>
      <c r="J346" s="19"/>
      <c r="K346" s="19"/>
      <c r="L346" s="19"/>
      <c r="M346" s="19"/>
      <c r="N346" s="19"/>
      <c r="O346" s="19"/>
      <c r="P346" s="19"/>
      <c r="Q346" s="19"/>
      <c r="R346" s="19"/>
      <c r="S346" s="19"/>
      <c r="T346" s="19"/>
    </row>
    <row r="347" spans="1:20" s="18" customFormat="1" ht="15" customHeight="1">
      <c r="A347" s="22"/>
      <c r="B347" s="23"/>
      <c r="C347" s="24"/>
      <c r="D347" s="25"/>
      <c r="E347" s="24"/>
      <c r="F347" s="26"/>
      <c r="H347" s="19"/>
      <c r="I347" s="19"/>
      <c r="J347" s="19"/>
      <c r="K347" s="19"/>
      <c r="L347" s="19"/>
      <c r="M347" s="19"/>
      <c r="N347" s="19"/>
      <c r="O347" s="19"/>
      <c r="P347" s="19"/>
      <c r="Q347" s="19"/>
      <c r="R347" s="19"/>
      <c r="S347" s="19"/>
      <c r="T347" s="19"/>
    </row>
    <row r="348" spans="1:20" s="18" customFormat="1" ht="15" customHeight="1">
      <c r="A348" s="22"/>
      <c r="B348" s="23"/>
      <c r="C348" s="24"/>
      <c r="D348" s="25"/>
      <c r="E348" s="24"/>
      <c r="F348" s="26"/>
      <c r="H348" s="19"/>
      <c r="I348" s="19"/>
      <c r="J348" s="19"/>
      <c r="K348" s="19"/>
      <c r="L348" s="19"/>
      <c r="M348" s="19"/>
      <c r="N348" s="19"/>
      <c r="O348" s="19"/>
      <c r="P348" s="19"/>
      <c r="Q348" s="19"/>
      <c r="R348" s="19"/>
      <c r="S348" s="19"/>
      <c r="T348" s="19"/>
    </row>
    <row r="349" spans="1:20" s="18" customFormat="1" ht="15" customHeight="1">
      <c r="A349" s="22"/>
      <c r="B349" s="23"/>
      <c r="C349" s="24"/>
      <c r="D349" s="25"/>
      <c r="E349" s="24"/>
      <c r="F349" s="26"/>
      <c r="H349" s="19"/>
      <c r="I349" s="19"/>
      <c r="J349" s="19"/>
      <c r="K349" s="19"/>
      <c r="L349" s="19"/>
      <c r="M349" s="19"/>
      <c r="N349" s="19"/>
      <c r="O349" s="19"/>
      <c r="P349" s="19"/>
      <c r="Q349" s="19"/>
      <c r="R349" s="19"/>
      <c r="S349" s="19"/>
      <c r="T349" s="19"/>
    </row>
    <row r="350" spans="1:20" s="18" customFormat="1" ht="15" customHeight="1">
      <c r="A350" s="22"/>
      <c r="B350" s="23"/>
      <c r="C350" s="24"/>
      <c r="D350" s="25"/>
      <c r="E350" s="24"/>
      <c r="F350" s="26"/>
      <c r="H350" s="19"/>
      <c r="I350" s="19"/>
      <c r="J350" s="19"/>
      <c r="K350" s="19"/>
      <c r="L350" s="19"/>
      <c r="M350" s="19"/>
      <c r="N350" s="19"/>
      <c r="O350" s="19"/>
      <c r="P350" s="19"/>
      <c r="Q350" s="19"/>
      <c r="R350" s="19"/>
      <c r="S350" s="19"/>
      <c r="T350" s="19"/>
    </row>
    <row r="351" spans="1:20" s="18" customFormat="1" ht="15" customHeight="1">
      <c r="A351" s="22"/>
      <c r="B351" s="23"/>
      <c r="C351" s="24"/>
      <c r="D351" s="25"/>
      <c r="E351" s="24"/>
      <c r="F351" s="26"/>
      <c r="H351" s="19"/>
      <c r="I351" s="19"/>
      <c r="J351" s="19"/>
      <c r="K351" s="19"/>
      <c r="L351" s="19"/>
      <c r="M351" s="19"/>
      <c r="N351" s="19"/>
      <c r="O351" s="19"/>
      <c r="P351" s="19"/>
      <c r="Q351" s="19"/>
      <c r="R351" s="19"/>
      <c r="S351" s="19"/>
      <c r="T351" s="19"/>
    </row>
    <row r="352" spans="1:20" s="18" customFormat="1" ht="15" customHeight="1">
      <c r="A352" s="22"/>
      <c r="B352" s="23"/>
      <c r="C352" s="24"/>
      <c r="D352" s="25"/>
      <c r="E352" s="24"/>
      <c r="F352" s="26"/>
      <c r="H352" s="19"/>
      <c r="I352" s="19"/>
      <c r="J352" s="19"/>
      <c r="K352" s="19"/>
      <c r="L352" s="19"/>
      <c r="M352" s="19"/>
      <c r="N352" s="19"/>
      <c r="O352" s="19"/>
      <c r="P352" s="19"/>
      <c r="Q352" s="19"/>
      <c r="R352" s="19"/>
      <c r="S352" s="19"/>
      <c r="T352" s="19"/>
    </row>
    <row r="353" spans="1:20" s="18" customFormat="1" ht="15" customHeight="1">
      <c r="A353" s="22"/>
      <c r="B353" s="23"/>
      <c r="C353" s="24"/>
      <c r="D353" s="25"/>
      <c r="E353" s="24"/>
      <c r="F353" s="26"/>
      <c r="H353" s="19"/>
      <c r="I353" s="19"/>
      <c r="J353" s="19"/>
      <c r="K353" s="19"/>
      <c r="L353" s="19"/>
      <c r="M353" s="19"/>
      <c r="N353" s="19"/>
      <c r="O353" s="19"/>
      <c r="P353" s="19"/>
      <c r="Q353" s="19"/>
      <c r="R353" s="19"/>
      <c r="S353" s="19"/>
      <c r="T353" s="19"/>
    </row>
    <row r="354" spans="1:20" s="18" customFormat="1" ht="15" customHeight="1">
      <c r="A354" s="22"/>
      <c r="B354" s="23"/>
      <c r="C354" s="24"/>
      <c r="D354" s="25"/>
      <c r="E354" s="24"/>
      <c r="F354" s="26"/>
      <c r="H354" s="19"/>
      <c r="I354" s="19"/>
      <c r="J354" s="19"/>
      <c r="K354" s="19"/>
      <c r="L354" s="19"/>
      <c r="M354" s="19"/>
      <c r="N354" s="19"/>
      <c r="O354" s="19"/>
      <c r="P354" s="19"/>
      <c r="Q354" s="19"/>
      <c r="R354" s="19"/>
      <c r="S354" s="19"/>
      <c r="T354" s="19"/>
    </row>
    <row r="355" spans="1:20" s="18" customFormat="1" ht="15" customHeight="1">
      <c r="A355" s="22"/>
      <c r="B355" s="23"/>
      <c r="C355" s="24"/>
      <c r="D355" s="25"/>
      <c r="E355" s="24"/>
      <c r="F355" s="26"/>
      <c r="H355" s="19"/>
      <c r="I355" s="19"/>
      <c r="J355" s="19"/>
      <c r="K355" s="19"/>
      <c r="L355" s="19"/>
      <c r="M355" s="19"/>
      <c r="N355" s="19"/>
      <c r="O355" s="19"/>
      <c r="P355" s="19"/>
      <c r="Q355" s="19"/>
      <c r="R355" s="19"/>
      <c r="S355" s="19"/>
      <c r="T355" s="19"/>
    </row>
    <row r="356" spans="1:20" s="18" customFormat="1" ht="15" customHeight="1">
      <c r="A356" s="22"/>
      <c r="B356" s="23"/>
      <c r="C356" s="24"/>
      <c r="D356" s="25"/>
      <c r="E356" s="24"/>
      <c r="F356" s="26"/>
      <c r="H356" s="19"/>
      <c r="I356" s="19"/>
      <c r="J356" s="19"/>
      <c r="K356" s="19"/>
      <c r="L356" s="19"/>
      <c r="M356" s="19"/>
      <c r="N356" s="19"/>
      <c r="O356" s="19"/>
      <c r="P356" s="19"/>
      <c r="Q356" s="19"/>
      <c r="R356" s="19"/>
      <c r="S356" s="19"/>
      <c r="T356" s="19"/>
    </row>
    <row r="357" spans="1:20" s="18" customFormat="1" ht="15" customHeight="1">
      <c r="A357" s="22"/>
      <c r="B357" s="23"/>
      <c r="C357" s="24"/>
      <c r="D357" s="25"/>
      <c r="E357" s="24"/>
      <c r="F357" s="26"/>
      <c r="H357" s="19"/>
      <c r="I357" s="19"/>
      <c r="J357" s="19"/>
      <c r="K357" s="19"/>
      <c r="L357" s="19"/>
      <c r="M357" s="19"/>
      <c r="N357" s="19"/>
      <c r="O357" s="19"/>
      <c r="P357" s="19"/>
      <c r="Q357" s="19"/>
      <c r="R357" s="19"/>
      <c r="S357" s="19"/>
      <c r="T357" s="19"/>
    </row>
    <row r="358" spans="1:20" s="18" customFormat="1" ht="15" customHeight="1">
      <c r="A358" s="22"/>
      <c r="B358" s="23"/>
      <c r="C358" s="24"/>
      <c r="D358" s="25"/>
      <c r="E358" s="24"/>
      <c r="F358" s="26"/>
      <c r="H358" s="19"/>
      <c r="I358" s="19"/>
      <c r="J358" s="19"/>
      <c r="K358" s="19"/>
      <c r="L358" s="19"/>
      <c r="M358" s="19"/>
      <c r="N358" s="19"/>
      <c r="O358" s="19"/>
      <c r="P358" s="19"/>
      <c r="Q358" s="19"/>
      <c r="R358" s="19"/>
      <c r="S358" s="19"/>
      <c r="T358" s="19"/>
    </row>
    <row r="359" spans="1:20" s="18" customFormat="1" ht="15" customHeight="1">
      <c r="A359" s="22"/>
      <c r="B359" s="23"/>
      <c r="C359" s="24"/>
      <c r="D359" s="25"/>
      <c r="E359" s="24"/>
      <c r="F359" s="26"/>
      <c r="H359" s="19"/>
      <c r="I359" s="19"/>
      <c r="J359" s="19"/>
      <c r="K359" s="19"/>
      <c r="L359" s="19"/>
      <c r="M359" s="19"/>
      <c r="N359" s="19"/>
      <c r="O359" s="19"/>
      <c r="P359" s="19"/>
      <c r="Q359" s="19"/>
      <c r="R359" s="19"/>
      <c r="S359" s="19"/>
      <c r="T359" s="19"/>
    </row>
    <row r="360" spans="1:20" s="18" customFormat="1" ht="15" customHeight="1">
      <c r="A360" s="22"/>
      <c r="B360" s="23"/>
      <c r="C360" s="24"/>
      <c r="D360" s="25"/>
      <c r="E360" s="24"/>
      <c r="F360" s="26"/>
      <c r="H360" s="19"/>
      <c r="I360" s="19"/>
      <c r="J360" s="19"/>
      <c r="K360" s="19"/>
      <c r="L360" s="19"/>
      <c r="M360" s="19"/>
      <c r="N360" s="19"/>
      <c r="O360" s="19"/>
      <c r="P360" s="19"/>
      <c r="Q360" s="19"/>
      <c r="R360" s="19"/>
      <c r="S360" s="19"/>
      <c r="T360" s="19"/>
    </row>
    <row r="361" spans="1:20" s="18" customFormat="1" ht="15" customHeight="1">
      <c r="A361" s="22"/>
      <c r="B361" s="23"/>
      <c r="C361" s="24"/>
      <c r="D361" s="25"/>
      <c r="E361" s="24"/>
      <c r="F361" s="26"/>
      <c r="H361" s="19"/>
      <c r="I361" s="19"/>
      <c r="J361" s="19"/>
      <c r="K361" s="19"/>
      <c r="L361" s="19"/>
      <c r="M361" s="19"/>
      <c r="N361" s="19"/>
      <c r="O361" s="19"/>
      <c r="P361" s="19"/>
      <c r="Q361" s="19"/>
      <c r="R361" s="19"/>
      <c r="S361" s="19"/>
      <c r="T361" s="19"/>
    </row>
    <row r="362" spans="1:20" s="18" customFormat="1" ht="15" customHeight="1">
      <c r="A362" s="22"/>
      <c r="B362" s="23"/>
      <c r="C362" s="24"/>
      <c r="D362" s="25"/>
      <c r="E362" s="24"/>
      <c r="F362" s="26"/>
      <c r="H362" s="19"/>
      <c r="I362" s="19"/>
      <c r="J362" s="19"/>
      <c r="K362" s="19"/>
      <c r="L362" s="19"/>
      <c r="M362" s="19"/>
      <c r="N362" s="19"/>
      <c r="O362" s="19"/>
      <c r="P362" s="19"/>
      <c r="Q362" s="19"/>
      <c r="R362" s="19"/>
      <c r="S362" s="19"/>
      <c r="T362" s="19"/>
    </row>
    <row r="363" spans="1:20" s="18" customFormat="1" ht="15" customHeight="1">
      <c r="A363" s="22"/>
      <c r="B363" s="23"/>
      <c r="C363" s="24"/>
      <c r="D363" s="25"/>
      <c r="E363" s="24"/>
      <c r="F363" s="26"/>
      <c r="H363" s="19"/>
      <c r="I363" s="19"/>
      <c r="J363" s="19"/>
      <c r="K363" s="19"/>
      <c r="L363" s="19"/>
      <c r="M363" s="19"/>
      <c r="N363" s="19"/>
      <c r="O363" s="19"/>
      <c r="P363" s="19"/>
      <c r="Q363" s="19"/>
      <c r="R363" s="19"/>
      <c r="S363" s="19"/>
      <c r="T363" s="19"/>
    </row>
    <row r="364" spans="1:20" s="18" customFormat="1" ht="15" customHeight="1">
      <c r="A364" s="22"/>
      <c r="B364" s="23"/>
      <c r="C364" s="24"/>
      <c r="D364" s="25"/>
      <c r="E364" s="24"/>
      <c r="F364" s="26"/>
      <c r="H364" s="19"/>
      <c r="I364" s="19"/>
      <c r="J364" s="19"/>
      <c r="K364" s="19"/>
      <c r="L364" s="19"/>
      <c r="M364" s="19"/>
      <c r="N364" s="19"/>
      <c r="O364" s="19"/>
      <c r="P364" s="19"/>
      <c r="Q364" s="19"/>
      <c r="R364" s="19"/>
      <c r="S364" s="19"/>
      <c r="T364" s="19"/>
    </row>
    <row r="365" spans="1:20" s="18" customFormat="1" ht="15" customHeight="1">
      <c r="A365" s="22"/>
      <c r="B365" s="23"/>
      <c r="C365" s="24"/>
      <c r="D365" s="25"/>
      <c r="E365" s="24"/>
      <c r="F365" s="26"/>
      <c r="H365" s="19"/>
      <c r="I365" s="19"/>
      <c r="J365" s="19"/>
      <c r="K365" s="19"/>
      <c r="L365" s="19"/>
      <c r="M365" s="19"/>
      <c r="N365" s="19"/>
      <c r="O365" s="19"/>
      <c r="P365" s="19"/>
      <c r="Q365" s="19"/>
      <c r="R365" s="19"/>
      <c r="S365" s="19"/>
      <c r="T365" s="19"/>
    </row>
    <row r="366" spans="1:20" s="18" customFormat="1" ht="15" customHeight="1">
      <c r="A366" s="22"/>
      <c r="B366" s="23"/>
      <c r="C366" s="24"/>
      <c r="D366" s="25"/>
      <c r="E366" s="24"/>
      <c r="F366" s="26"/>
      <c r="H366" s="19"/>
      <c r="I366" s="19"/>
      <c r="J366" s="19"/>
      <c r="K366" s="19"/>
      <c r="L366" s="19"/>
      <c r="M366" s="19"/>
      <c r="N366" s="19"/>
      <c r="O366" s="19"/>
      <c r="P366" s="19"/>
      <c r="Q366" s="19"/>
      <c r="R366" s="19"/>
      <c r="S366" s="19"/>
      <c r="T366" s="19"/>
    </row>
    <row r="367" spans="1:20" s="18" customFormat="1" ht="15" customHeight="1">
      <c r="A367" s="22"/>
      <c r="B367" s="23"/>
      <c r="C367" s="24"/>
      <c r="D367" s="25"/>
      <c r="E367" s="24"/>
      <c r="F367" s="26"/>
      <c r="H367" s="19"/>
      <c r="I367" s="19"/>
      <c r="J367" s="19"/>
      <c r="K367" s="19"/>
      <c r="L367" s="19"/>
      <c r="M367" s="19"/>
      <c r="N367" s="19"/>
      <c r="O367" s="19"/>
      <c r="P367" s="19"/>
      <c r="Q367" s="19"/>
      <c r="R367" s="19"/>
      <c r="S367" s="19"/>
      <c r="T367" s="19"/>
    </row>
    <row r="368" spans="1:20" s="18" customFormat="1" ht="15" customHeight="1">
      <c r="A368" s="22"/>
      <c r="B368" s="23"/>
      <c r="C368" s="24"/>
      <c r="D368" s="25"/>
      <c r="E368" s="24"/>
      <c r="F368" s="26"/>
      <c r="H368" s="19"/>
      <c r="I368" s="19"/>
      <c r="J368" s="19"/>
      <c r="K368" s="19"/>
      <c r="L368" s="19"/>
      <c r="M368" s="19"/>
      <c r="N368" s="19"/>
      <c r="O368" s="19"/>
      <c r="P368" s="19"/>
      <c r="Q368" s="19"/>
      <c r="R368" s="19"/>
      <c r="S368" s="19"/>
      <c r="T368" s="19"/>
    </row>
    <row r="369" spans="1:20" s="18" customFormat="1" ht="15" customHeight="1">
      <c r="A369" s="22"/>
      <c r="B369" s="23"/>
      <c r="C369" s="24"/>
      <c r="D369" s="25"/>
      <c r="E369" s="24"/>
      <c r="F369" s="26"/>
      <c r="H369" s="19"/>
      <c r="I369" s="19"/>
      <c r="J369" s="19"/>
      <c r="K369" s="19"/>
      <c r="L369" s="19"/>
      <c r="M369" s="19"/>
      <c r="N369" s="19"/>
      <c r="O369" s="19"/>
      <c r="P369" s="19"/>
      <c r="Q369" s="19"/>
      <c r="R369" s="19"/>
      <c r="S369" s="19"/>
      <c r="T369" s="19"/>
    </row>
    <row r="370" spans="1:20" s="18" customFormat="1" ht="15" customHeight="1">
      <c r="A370" s="22"/>
      <c r="B370" s="23"/>
      <c r="C370" s="24"/>
      <c r="D370" s="25"/>
      <c r="E370" s="24"/>
      <c r="F370" s="26"/>
      <c r="H370" s="19"/>
      <c r="I370" s="19"/>
      <c r="J370" s="19"/>
      <c r="K370" s="19"/>
      <c r="L370" s="19"/>
      <c r="M370" s="19"/>
      <c r="N370" s="19"/>
      <c r="O370" s="19"/>
      <c r="P370" s="19"/>
      <c r="Q370" s="19"/>
      <c r="R370" s="19"/>
      <c r="S370" s="19"/>
      <c r="T370" s="19"/>
    </row>
    <row r="371" spans="1:20" s="18" customFormat="1" ht="15" customHeight="1">
      <c r="A371" s="22"/>
      <c r="B371" s="23"/>
      <c r="C371" s="24"/>
      <c r="D371" s="25"/>
      <c r="E371" s="24"/>
      <c r="F371" s="26"/>
      <c r="H371" s="19"/>
      <c r="I371" s="19"/>
      <c r="J371" s="19"/>
      <c r="K371" s="19"/>
      <c r="L371" s="19"/>
      <c r="M371" s="19"/>
      <c r="N371" s="19"/>
      <c r="O371" s="19"/>
      <c r="P371" s="19"/>
      <c r="Q371" s="19"/>
      <c r="R371" s="19"/>
      <c r="S371" s="19"/>
      <c r="T371" s="19"/>
    </row>
    <row r="372" spans="1:20" s="18" customFormat="1" ht="15" customHeight="1">
      <c r="A372" s="22"/>
      <c r="B372" s="23"/>
      <c r="C372" s="24"/>
      <c r="D372" s="25"/>
      <c r="E372" s="24"/>
      <c r="F372" s="26"/>
      <c r="H372" s="19"/>
      <c r="I372" s="19"/>
      <c r="J372" s="19"/>
      <c r="K372" s="19"/>
      <c r="L372" s="19"/>
      <c r="M372" s="19"/>
      <c r="N372" s="19"/>
      <c r="O372" s="19"/>
      <c r="P372" s="19"/>
      <c r="Q372" s="19"/>
      <c r="R372" s="19"/>
      <c r="S372" s="19"/>
      <c r="T372" s="19"/>
    </row>
    <row r="373" spans="1:20" s="18" customFormat="1" ht="15" customHeight="1">
      <c r="A373" s="22"/>
      <c r="B373" s="23"/>
      <c r="C373" s="24"/>
      <c r="D373" s="25"/>
      <c r="E373" s="24"/>
      <c r="F373" s="26"/>
      <c r="H373" s="19"/>
      <c r="I373" s="19"/>
      <c r="J373" s="19"/>
      <c r="K373" s="19"/>
      <c r="L373" s="19"/>
      <c r="M373" s="19"/>
      <c r="N373" s="19"/>
      <c r="O373" s="19"/>
      <c r="P373" s="19"/>
      <c r="Q373" s="19"/>
      <c r="R373" s="19"/>
      <c r="S373" s="19"/>
      <c r="T373" s="19"/>
    </row>
    <row r="374" spans="1:20" s="18" customFormat="1" ht="15" customHeight="1">
      <c r="A374" s="22"/>
      <c r="B374" s="23"/>
      <c r="C374" s="24"/>
      <c r="D374" s="25"/>
      <c r="E374" s="24"/>
      <c r="F374" s="26"/>
      <c r="H374" s="19"/>
      <c r="I374" s="19"/>
      <c r="J374" s="19"/>
      <c r="K374" s="19"/>
      <c r="L374" s="19"/>
      <c r="M374" s="19"/>
      <c r="N374" s="19"/>
      <c r="O374" s="19"/>
      <c r="P374" s="19"/>
      <c r="Q374" s="19"/>
      <c r="R374" s="19"/>
      <c r="S374" s="19"/>
      <c r="T374" s="19"/>
    </row>
    <row r="375" spans="1:20" s="18" customFormat="1" ht="15" customHeight="1">
      <c r="A375" s="22"/>
      <c r="B375" s="23"/>
      <c r="C375" s="24"/>
      <c r="D375" s="25"/>
      <c r="E375" s="24"/>
      <c r="F375" s="26"/>
      <c r="H375" s="19"/>
      <c r="I375" s="19"/>
      <c r="J375" s="19"/>
      <c r="K375" s="19"/>
      <c r="L375" s="19"/>
      <c r="M375" s="19"/>
      <c r="N375" s="19"/>
      <c r="O375" s="19"/>
      <c r="P375" s="19"/>
      <c r="Q375" s="19"/>
      <c r="R375" s="19"/>
      <c r="S375" s="19"/>
      <c r="T375" s="19"/>
    </row>
    <row r="376" spans="1:20" s="18" customFormat="1" ht="15" customHeight="1">
      <c r="A376" s="22"/>
      <c r="B376" s="23"/>
      <c r="C376" s="24"/>
      <c r="D376" s="25"/>
      <c r="E376" s="24"/>
      <c r="F376" s="26"/>
      <c r="H376" s="19"/>
      <c r="I376" s="19"/>
      <c r="J376" s="19"/>
      <c r="K376" s="19"/>
      <c r="L376" s="19"/>
      <c r="M376" s="19"/>
      <c r="N376" s="19"/>
      <c r="O376" s="19"/>
      <c r="P376" s="19"/>
      <c r="Q376" s="19"/>
      <c r="R376" s="19"/>
      <c r="S376" s="19"/>
      <c r="T376" s="19"/>
    </row>
    <row r="377" spans="1:20" s="18" customFormat="1" ht="15" customHeight="1">
      <c r="A377" s="22"/>
      <c r="B377" s="23"/>
      <c r="C377" s="24"/>
      <c r="D377" s="25"/>
      <c r="E377" s="24"/>
      <c r="F377" s="26"/>
      <c r="H377" s="19"/>
      <c r="I377" s="19"/>
      <c r="J377" s="19"/>
      <c r="K377" s="19"/>
      <c r="L377" s="19"/>
      <c r="M377" s="19"/>
      <c r="N377" s="19"/>
      <c r="O377" s="19"/>
      <c r="P377" s="19"/>
      <c r="Q377" s="19"/>
      <c r="R377" s="19"/>
      <c r="S377" s="19"/>
      <c r="T377" s="19"/>
    </row>
    <row r="378" spans="1:20" s="18" customFormat="1" ht="15" customHeight="1">
      <c r="A378" s="22"/>
      <c r="B378" s="23"/>
      <c r="C378" s="24"/>
      <c r="D378" s="25"/>
      <c r="E378" s="24"/>
      <c r="F378" s="26"/>
      <c r="H378" s="19"/>
      <c r="I378" s="19"/>
      <c r="J378" s="19"/>
      <c r="K378" s="19"/>
      <c r="L378" s="19"/>
      <c r="M378" s="19"/>
      <c r="N378" s="19"/>
      <c r="O378" s="19"/>
      <c r="P378" s="19"/>
      <c r="Q378" s="19"/>
      <c r="R378" s="19"/>
      <c r="S378" s="19"/>
      <c r="T378" s="19"/>
    </row>
    <row r="379" spans="1:20" s="18" customFormat="1" ht="15" customHeight="1">
      <c r="A379" s="22"/>
      <c r="B379" s="23"/>
      <c r="C379" s="24"/>
      <c r="D379" s="25"/>
      <c r="E379" s="24"/>
      <c r="F379" s="26"/>
      <c r="H379" s="19"/>
      <c r="I379" s="19"/>
      <c r="J379" s="19"/>
      <c r="K379" s="19"/>
      <c r="L379" s="19"/>
      <c r="M379" s="19"/>
      <c r="N379" s="19"/>
      <c r="O379" s="19"/>
      <c r="P379" s="19"/>
      <c r="Q379" s="19"/>
      <c r="R379" s="19"/>
      <c r="S379" s="19"/>
      <c r="T379" s="19"/>
    </row>
    <row r="380" spans="1:20" s="18" customFormat="1" ht="15" customHeight="1">
      <c r="A380" s="22"/>
      <c r="B380" s="23"/>
      <c r="C380" s="24"/>
      <c r="D380" s="25"/>
      <c r="E380" s="24"/>
      <c r="F380" s="26"/>
      <c r="H380" s="19"/>
      <c r="I380" s="19"/>
      <c r="J380" s="19"/>
      <c r="K380" s="19"/>
      <c r="L380" s="19"/>
      <c r="M380" s="19"/>
      <c r="N380" s="19"/>
      <c r="O380" s="19"/>
      <c r="P380" s="19"/>
      <c r="Q380" s="19"/>
      <c r="R380" s="19"/>
      <c r="S380" s="19"/>
      <c r="T380" s="19"/>
    </row>
    <row r="381" spans="1:20" s="18" customFormat="1" ht="15" customHeight="1">
      <c r="A381" s="22"/>
      <c r="B381" s="23"/>
      <c r="C381" s="24"/>
      <c r="D381" s="25"/>
      <c r="E381" s="24"/>
      <c r="F381" s="26"/>
      <c r="H381" s="19"/>
      <c r="I381" s="19"/>
      <c r="J381" s="19"/>
      <c r="K381" s="19"/>
      <c r="L381" s="19"/>
      <c r="M381" s="19"/>
      <c r="N381" s="19"/>
      <c r="O381" s="19"/>
      <c r="P381" s="19"/>
      <c r="Q381" s="19"/>
      <c r="R381" s="19"/>
      <c r="S381" s="19"/>
      <c r="T381" s="19"/>
    </row>
    <row r="382" spans="1:20" s="18" customFormat="1" ht="15" customHeight="1">
      <c r="A382" s="22"/>
      <c r="B382" s="23"/>
      <c r="C382" s="24"/>
      <c r="D382" s="25"/>
      <c r="E382" s="24"/>
      <c r="F382" s="26"/>
      <c r="H382" s="19"/>
      <c r="I382" s="19"/>
      <c r="J382" s="19"/>
      <c r="K382" s="19"/>
      <c r="L382" s="19"/>
      <c r="M382" s="19"/>
      <c r="N382" s="19"/>
      <c r="O382" s="19"/>
      <c r="P382" s="19"/>
      <c r="Q382" s="19"/>
      <c r="R382" s="19"/>
      <c r="S382" s="19"/>
      <c r="T382" s="19"/>
    </row>
    <row r="383" spans="1:20" s="18" customFormat="1" ht="15" customHeight="1">
      <c r="A383" s="22"/>
      <c r="B383" s="23"/>
      <c r="C383" s="24"/>
      <c r="D383" s="25"/>
      <c r="E383" s="24"/>
      <c r="F383" s="26"/>
      <c r="H383" s="19"/>
      <c r="I383" s="19"/>
      <c r="J383" s="19"/>
      <c r="K383" s="19"/>
      <c r="L383" s="19"/>
      <c r="M383" s="19"/>
      <c r="N383" s="19"/>
      <c r="O383" s="19"/>
      <c r="P383" s="19"/>
      <c r="Q383" s="19"/>
      <c r="R383" s="19"/>
      <c r="S383" s="19"/>
      <c r="T383" s="19"/>
    </row>
    <row r="384" spans="1:20" s="18" customFormat="1" ht="15" customHeight="1">
      <c r="A384" s="22"/>
      <c r="B384" s="23"/>
      <c r="C384" s="24"/>
      <c r="D384" s="25"/>
      <c r="E384" s="24"/>
      <c r="F384" s="26"/>
      <c r="H384" s="19"/>
      <c r="I384" s="19"/>
      <c r="J384" s="19"/>
      <c r="K384" s="19"/>
      <c r="L384" s="19"/>
      <c r="M384" s="19"/>
      <c r="N384" s="19"/>
      <c r="O384" s="19"/>
      <c r="P384" s="19"/>
      <c r="Q384" s="19"/>
      <c r="R384" s="19"/>
      <c r="S384" s="19"/>
      <c r="T384" s="19"/>
    </row>
    <row r="385" spans="1:20" s="18" customFormat="1" ht="15" customHeight="1">
      <c r="A385" s="22"/>
      <c r="B385" s="23"/>
      <c r="C385" s="24"/>
      <c r="D385" s="25"/>
      <c r="E385" s="24"/>
      <c r="F385" s="26"/>
      <c r="H385" s="19"/>
      <c r="I385" s="19"/>
      <c r="J385" s="19"/>
      <c r="K385" s="19"/>
      <c r="L385" s="19"/>
      <c r="M385" s="19"/>
      <c r="N385" s="19"/>
      <c r="O385" s="19"/>
      <c r="P385" s="19"/>
      <c r="Q385" s="19"/>
      <c r="R385" s="19"/>
      <c r="S385" s="19"/>
      <c r="T385" s="19"/>
    </row>
    <row r="386" spans="1:20" s="18" customFormat="1" ht="15" customHeight="1">
      <c r="A386" s="22"/>
      <c r="B386" s="23"/>
      <c r="C386" s="24"/>
      <c r="D386" s="25"/>
      <c r="E386" s="24"/>
      <c r="F386" s="26"/>
      <c r="H386" s="19"/>
      <c r="I386" s="19"/>
      <c r="J386" s="19"/>
      <c r="K386" s="19"/>
      <c r="L386" s="19"/>
      <c r="M386" s="19"/>
      <c r="N386" s="19"/>
      <c r="O386" s="19"/>
      <c r="P386" s="19"/>
      <c r="Q386" s="19"/>
      <c r="R386" s="19"/>
      <c r="S386" s="19"/>
      <c r="T386" s="19"/>
    </row>
    <row r="387" spans="1:20" s="18" customFormat="1" ht="15" customHeight="1">
      <c r="A387" s="22"/>
      <c r="B387" s="23"/>
      <c r="C387" s="24"/>
      <c r="D387" s="25"/>
      <c r="E387" s="24"/>
      <c r="F387" s="26"/>
      <c r="H387" s="19"/>
      <c r="I387" s="19"/>
      <c r="J387" s="19"/>
      <c r="K387" s="19"/>
      <c r="L387" s="19"/>
      <c r="M387" s="19"/>
      <c r="N387" s="19"/>
      <c r="O387" s="19"/>
      <c r="P387" s="19"/>
      <c r="Q387" s="19"/>
      <c r="R387" s="19"/>
      <c r="S387" s="19"/>
      <c r="T387" s="19"/>
    </row>
    <row r="388" spans="1:20" s="18" customFormat="1" ht="15" customHeight="1">
      <c r="A388" s="22"/>
      <c r="B388" s="23"/>
      <c r="C388" s="24"/>
      <c r="D388" s="25"/>
      <c r="E388" s="24"/>
      <c r="F388" s="26"/>
      <c r="H388" s="19"/>
      <c r="I388" s="19"/>
      <c r="J388" s="19"/>
      <c r="K388" s="19"/>
      <c r="L388" s="19"/>
      <c r="M388" s="19"/>
      <c r="N388" s="19"/>
      <c r="O388" s="19"/>
      <c r="P388" s="19"/>
      <c r="Q388" s="19"/>
      <c r="R388" s="19"/>
      <c r="S388" s="19"/>
      <c r="T388" s="19"/>
    </row>
    <row r="389" spans="1:20" s="18" customFormat="1" ht="15" customHeight="1">
      <c r="A389" s="22"/>
      <c r="B389" s="23"/>
      <c r="C389" s="24"/>
      <c r="D389" s="25"/>
      <c r="E389" s="24"/>
      <c r="F389" s="26"/>
      <c r="H389" s="19"/>
      <c r="I389" s="19"/>
      <c r="J389" s="19"/>
      <c r="K389" s="19"/>
      <c r="L389" s="19"/>
      <c r="M389" s="19"/>
      <c r="N389" s="19"/>
      <c r="O389" s="19"/>
      <c r="P389" s="19"/>
      <c r="Q389" s="19"/>
      <c r="R389" s="19"/>
      <c r="S389" s="19"/>
      <c r="T389" s="19"/>
    </row>
    <row r="390" spans="1:20" s="18" customFormat="1" ht="15" customHeight="1">
      <c r="A390" s="22"/>
      <c r="B390" s="23"/>
      <c r="C390" s="24"/>
      <c r="D390" s="25"/>
      <c r="E390" s="24"/>
      <c r="F390" s="26"/>
      <c r="H390" s="19"/>
      <c r="I390" s="19"/>
      <c r="J390" s="19"/>
      <c r="K390" s="19"/>
      <c r="L390" s="19"/>
      <c r="M390" s="19"/>
      <c r="N390" s="19"/>
      <c r="O390" s="19"/>
      <c r="P390" s="19"/>
      <c r="Q390" s="19"/>
      <c r="R390" s="19"/>
      <c r="S390" s="19"/>
      <c r="T390" s="19"/>
    </row>
    <row r="391" spans="1:20" s="18" customFormat="1" ht="15" customHeight="1">
      <c r="A391" s="22"/>
      <c r="B391" s="23"/>
      <c r="C391" s="24"/>
      <c r="D391" s="25"/>
      <c r="E391" s="24"/>
      <c r="F391" s="26"/>
      <c r="H391" s="19"/>
      <c r="I391" s="19"/>
      <c r="J391" s="19"/>
      <c r="K391" s="19"/>
      <c r="L391" s="19"/>
      <c r="M391" s="19"/>
      <c r="N391" s="19"/>
      <c r="O391" s="19"/>
      <c r="P391" s="19"/>
      <c r="Q391" s="19"/>
      <c r="R391" s="19"/>
      <c r="S391" s="19"/>
      <c r="T391" s="19"/>
    </row>
    <row r="392" spans="1:20" s="18" customFormat="1" ht="15" customHeight="1">
      <c r="A392" s="22"/>
      <c r="B392" s="23"/>
      <c r="C392" s="24"/>
      <c r="D392" s="25"/>
      <c r="E392" s="24"/>
      <c r="F392" s="26"/>
      <c r="H392" s="19"/>
      <c r="I392" s="19"/>
      <c r="J392" s="19"/>
      <c r="K392" s="19"/>
      <c r="L392" s="19"/>
      <c r="M392" s="19"/>
      <c r="N392" s="19"/>
      <c r="O392" s="19"/>
      <c r="P392" s="19"/>
      <c r="Q392" s="19"/>
      <c r="R392" s="19"/>
      <c r="S392" s="19"/>
      <c r="T392" s="19"/>
    </row>
    <row r="393" spans="1:20" s="18" customFormat="1" ht="15" customHeight="1">
      <c r="A393" s="22"/>
      <c r="B393" s="23"/>
      <c r="C393" s="24"/>
      <c r="D393" s="25"/>
      <c r="E393" s="24"/>
      <c r="F393" s="26"/>
      <c r="H393" s="19"/>
      <c r="I393" s="19"/>
      <c r="J393" s="19"/>
      <c r="K393" s="19"/>
      <c r="L393" s="19"/>
      <c r="M393" s="19"/>
      <c r="N393" s="19"/>
      <c r="O393" s="19"/>
      <c r="P393" s="19"/>
      <c r="Q393" s="19"/>
      <c r="R393" s="19"/>
      <c r="S393" s="19"/>
      <c r="T393" s="19"/>
    </row>
    <row r="394" spans="1:20" s="18" customFormat="1" ht="15" customHeight="1">
      <c r="A394" s="22"/>
      <c r="B394" s="23"/>
      <c r="C394" s="24"/>
      <c r="D394" s="25"/>
      <c r="E394" s="24"/>
      <c r="F394" s="26"/>
      <c r="H394" s="19"/>
      <c r="I394" s="19"/>
      <c r="J394" s="19"/>
      <c r="K394" s="19"/>
      <c r="L394" s="19"/>
      <c r="M394" s="19"/>
      <c r="N394" s="19"/>
      <c r="O394" s="19"/>
      <c r="P394" s="19"/>
      <c r="Q394" s="19"/>
      <c r="R394" s="19"/>
      <c r="S394" s="19"/>
      <c r="T394" s="19"/>
    </row>
    <row r="395" spans="1:20" s="18" customFormat="1" ht="15" customHeight="1">
      <c r="A395" s="22"/>
      <c r="B395" s="23"/>
      <c r="C395" s="24"/>
      <c r="D395" s="25"/>
      <c r="E395" s="24"/>
      <c r="F395" s="26"/>
      <c r="H395" s="19"/>
      <c r="I395" s="19"/>
      <c r="J395" s="19"/>
      <c r="K395" s="19"/>
      <c r="L395" s="19"/>
      <c r="M395" s="19"/>
      <c r="N395" s="19"/>
      <c r="O395" s="19"/>
      <c r="P395" s="19"/>
      <c r="Q395" s="19"/>
      <c r="R395" s="19"/>
      <c r="S395" s="19"/>
      <c r="T395" s="19"/>
    </row>
  </sheetData>
  <customSheetViews>
    <customSheetView guid="{58A41188-4CB9-4607-A927-9B98665919B2}" scale="107" showPageBreaks="1" printArea="1" view="pageBreakPreview" topLeftCell="B20">
      <selection activeCell="B5" sqref="A5:XFD7"/>
      <pageMargins left="0.7" right="0.7" top="0.75" bottom="0.75" header="0.3" footer="0.3"/>
      <pageSetup orientation="portrait" r:id="rId1"/>
    </customSheetView>
    <customSheetView guid="{1E933494-4ABB-4290-95BF-88ADDB331983}" scale="107" showPageBreaks="1" printArea="1" view="pageBreakPreview">
      <selection activeCell="F16" sqref="F16"/>
      <pageMargins left="0.7" right="0.7" top="0.75" bottom="0.75" header="0.3" footer="0.3"/>
      <pageSetup orientation="portrait" r:id="rId2"/>
    </customSheetView>
  </customSheetViews>
  <pageMargins left="0.7" right="0.7" top="0.75" bottom="0.75" header="0.3" footer="0.3"/>
  <pageSetup scale="85"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view="pageBreakPreview" zoomScale="112" zoomScaleNormal="100" zoomScaleSheetLayoutView="112" workbookViewId="0">
      <selection activeCell="E31" sqref="E31:E51"/>
    </sheetView>
  </sheetViews>
  <sheetFormatPr defaultRowHeight="13.2"/>
  <cols>
    <col min="1" max="1" width="7.33203125" bestFit="1" customWidth="1"/>
    <col min="2" max="2" width="50.6640625" customWidth="1"/>
    <col min="3" max="3" width="5.33203125" bestFit="1" customWidth="1"/>
    <col min="4" max="4" width="4.6640625" style="78" bestFit="1" customWidth="1"/>
    <col min="5" max="5" width="8.44140625" bestFit="1" customWidth="1"/>
    <col min="6" max="6" width="11.33203125" style="44" customWidth="1"/>
  </cols>
  <sheetData>
    <row r="1" spans="1:6" s="52" customFormat="1" ht="14.4">
      <c r="A1" s="361"/>
      <c r="B1" s="361"/>
      <c r="C1" s="361"/>
      <c r="D1" s="362"/>
      <c r="E1" s="361"/>
      <c r="F1" s="363"/>
    </row>
    <row r="2" spans="1:6" s="52" customFormat="1" ht="14.4">
      <c r="A2" s="261" t="s">
        <v>469</v>
      </c>
      <c r="B2" s="261" t="s">
        <v>473</v>
      </c>
      <c r="C2" s="261" t="s">
        <v>328</v>
      </c>
      <c r="D2" s="262" t="s">
        <v>470</v>
      </c>
      <c r="E2" s="364" t="s">
        <v>328</v>
      </c>
      <c r="F2" s="365"/>
    </row>
    <row r="3" spans="1:6" s="52" customFormat="1" ht="30.6">
      <c r="A3" s="366"/>
      <c r="B3" s="367" t="s">
        <v>416</v>
      </c>
      <c r="C3" s="368"/>
      <c r="D3" s="368"/>
      <c r="E3" s="368"/>
      <c r="F3" s="369"/>
    </row>
    <row r="4" spans="1:6" s="52" customFormat="1" ht="14.4">
      <c r="A4" s="348"/>
      <c r="B4" s="370"/>
      <c r="C4" s="348"/>
      <c r="D4" s="348"/>
      <c r="E4" s="348"/>
      <c r="F4" s="371"/>
    </row>
    <row r="5" spans="1:6" s="52" customFormat="1" ht="14.4">
      <c r="A5" s="240"/>
      <c r="B5" s="372" t="s">
        <v>787</v>
      </c>
      <c r="C5" s="243"/>
      <c r="D5" s="242"/>
      <c r="E5" s="373"/>
      <c r="F5" s="244"/>
    </row>
    <row r="6" spans="1:6" s="52" customFormat="1" ht="14.4">
      <c r="A6" s="240"/>
      <c r="B6" s="245"/>
      <c r="C6" s="243"/>
      <c r="D6" s="242"/>
      <c r="E6" s="373"/>
      <c r="F6" s="244"/>
    </row>
    <row r="7" spans="1:6" s="52" customFormat="1" ht="14.4">
      <c r="A7" s="246"/>
      <c r="B7" s="257"/>
      <c r="C7" s="243"/>
      <c r="D7" s="242"/>
      <c r="E7" s="373"/>
      <c r="F7" s="244"/>
    </row>
    <row r="8" spans="1:6" s="52" customFormat="1" ht="14.4">
      <c r="A8" s="240">
        <v>10</v>
      </c>
      <c r="B8" s="372" t="s">
        <v>529</v>
      </c>
      <c r="C8" s="240"/>
      <c r="D8" s="380"/>
      <c r="E8" s="381"/>
      <c r="F8" s="379"/>
    </row>
    <row r="9" spans="1:6" s="52" customFormat="1" ht="14.4">
      <c r="A9" s="382"/>
      <c r="B9" s="374" t="s">
        <v>280</v>
      </c>
      <c r="C9" s="383"/>
      <c r="D9" s="384"/>
      <c r="E9" s="385"/>
      <c r="F9" s="386"/>
    </row>
    <row r="10" spans="1:6" s="52" customFormat="1" ht="14.4">
      <c r="A10" s="382"/>
      <c r="B10" s="374" t="s">
        <v>281</v>
      </c>
      <c r="C10" s="383"/>
      <c r="D10" s="384"/>
      <c r="E10" s="385"/>
      <c r="F10" s="386"/>
    </row>
    <row r="11" spans="1:6" s="52" customFormat="1" ht="28.8">
      <c r="A11" s="387">
        <v>16.100000000000001</v>
      </c>
      <c r="B11" s="241" t="s">
        <v>530</v>
      </c>
      <c r="C11" s="388" t="s">
        <v>350</v>
      </c>
      <c r="D11" s="389">
        <f>1.8*2*4</f>
        <v>14.4</v>
      </c>
      <c r="E11" s="390"/>
      <c r="F11" s="391"/>
    </row>
    <row r="12" spans="1:6" s="52" customFormat="1" ht="14.4">
      <c r="A12" s="387"/>
      <c r="B12" s="241" t="s">
        <v>531</v>
      </c>
      <c r="C12" s="388"/>
      <c r="D12" s="389"/>
      <c r="E12" s="390"/>
      <c r="F12" s="391"/>
    </row>
    <row r="13" spans="1:6" s="52" customFormat="1" ht="28.8">
      <c r="A13" s="387">
        <v>16.2</v>
      </c>
      <c r="B13" s="241" t="s">
        <v>532</v>
      </c>
      <c r="C13" s="388" t="s">
        <v>350</v>
      </c>
      <c r="D13" s="389">
        <v>13</v>
      </c>
      <c r="E13" s="390"/>
      <c r="F13" s="391"/>
    </row>
    <row r="14" spans="1:6" s="52" customFormat="1" ht="14.4">
      <c r="A14" s="387"/>
      <c r="B14" s="374" t="s">
        <v>533</v>
      </c>
      <c r="C14" s="388"/>
      <c r="D14" s="389"/>
      <c r="E14" s="390"/>
      <c r="F14" s="391"/>
    </row>
    <row r="15" spans="1:6" s="52" customFormat="1" ht="28.8">
      <c r="A15" s="387">
        <v>16.3</v>
      </c>
      <c r="B15" s="241" t="s">
        <v>554</v>
      </c>
      <c r="C15" s="388" t="s">
        <v>350</v>
      </c>
      <c r="D15" s="389">
        <f>2*4*0.13</f>
        <v>1.04</v>
      </c>
      <c r="E15" s="390"/>
      <c r="F15" s="391"/>
    </row>
    <row r="16" spans="1:6" s="52" customFormat="1" ht="14.4">
      <c r="A16" s="387"/>
      <c r="B16" s="374" t="s">
        <v>534</v>
      </c>
      <c r="C16" s="388"/>
      <c r="D16" s="389"/>
      <c r="E16" s="390"/>
      <c r="F16" s="391"/>
    </row>
    <row r="17" spans="1:6" s="52" customFormat="1" ht="14.4">
      <c r="A17" s="387"/>
      <c r="B17" s="374" t="s">
        <v>535</v>
      </c>
      <c r="C17" s="388"/>
      <c r="D17" s="389"/>
      <c r="E17" s="390"/>
      <c r="F17" s="391"/>
    </row>
    <row r="18" spans="1:6" s="52" customFormat="1" ht="43.2">
      <c r="A18" s="387">
        <v>16.399999999999999</v>
      </c>
      <c r="B18" s="241" t="s">
        <v>536</v>
      </c>
      <c r="C18" s="388" t="s">
        <v>351</v>
      </c>
      <c r="D18" s="389">
        <v>130</v>
      </c>
      <c r="E18" s="390"/>
      <c r="F18" s="391"/>
    </row>
    <row r="19" spans="1:6" s="52" customFormat="1" ht="14.4">
      <c r="A19" s="387">
        <v>16.5</v>
      </c>
      <c r="B19" s="241" t="s">
        <v>537</v>
      </c>
      <c r="C19" s="388" t="s">
        <v>538</v>
      </c>
      <c r="D19" s="389">
        <v>12.5</v>
      </c>
      <c r="E19" s="390"/>
      <c r="F19" s="391"/>
    </row>
    <row r="20" spans="1:6" s="52" customFormat="1" ht="14.4">
      <c r="A20" s="387"/>
      <c r="B20" s="392"/>
      <c r="C20" s="388"/>
      <c r="D20" s="389"/>
      <c r="E20" s="390"/>
      <c r="F20" s="391"/>
    </row>
    <row r="21" spans="1:6" s="52" customFormat="1" ht="14.4">
      <c r="A21" s="387"/>
      <c r="B21" s="378" t="s">
        <v>539</v>
      </c>
      <c r="C21" s="388"/>
      <c r="D21" s="389"/>
      <c r="E21" s="390"/>
      <c r="F21" s="391"/>
    </row>
    <row r="22" spans="1:6" s="52" customFormat="1" ht="14.4">
      <c r="A22" s="387"/>
      <c r="B22" s="374" t="s">
        <v>297</v>
      </c>
      <c r="C22" s="388"/>
      <c r="D22" s="389"/>
      <c r="E22" s="390"/>
      <c r="F22" s="391"/>
    </row>
    <row r="23" spans="1:6" s="52" customFormat="1" ht="14.4">
      <c r="A23" s="387"/>
      <c r="B23" s="374" t="s">
        <v>292</v>
      </c>
      <c r="C23" s="388"/>
      <c r="D23" s="389"/>
      <c r="E23" s="390"/>
      <c r="F23" s="391"/>
    </row>
    <row r="24" spans="1:6" s="52" customFormat="1" ht="14.4">
      <c r="A24" s="387"/>
      <c r="B24" s="374" t="s">
        <v>293</v>
      </c>
      <c r="C24" s="388"/>
      <c r="D24" s="389"/>
      <c r="E24" s="390"/>
      <c r="F24" s="391"/>
    </row>
    <row r="25" spans="1:6" s="52" customFormat="1" ht="14.4">
      <c r="A25" s="387">
        <v>16.600000000000001</v>
      </c>
      <c r="B25" s="241" t="s">
        <v>540</v>
      </c>
      <c r="C25" s="388" t="s">
        <v>352</v>
      </c>
      <c r="D25" s="389">
        <v>22</v>
      </c>
      <c r="E25" s="390"/>
      <c r="F25" s="391"/>
    </row>
    <row r="26" spans="1:6" s="52" customFormat="1" ht="14.4">
      <c r="A26" s="247"/>
      <c r="B26" s="245" t="s">
        <v>413</v>
      </c>
      <c r="C26" s="248"/>
      <c r="D26" s="249"/>
      <c r="E26" s="375"/>
      <c r="F26" s="250"/>
    </row>
    <row r="27" spans="1:6" s="52" customFormat="1" ht="14.4">
      <c r="A27" s="261" t="s">
        <v>469</v>
      </c>
      <c r="B27" s="261" t="s">
        <v>473</v>
      </c>
      <c r="C27" s="261" t="s">
        <v>328</v>
      </c>
      <c r="D27" s="262" t="s">
        <v>470</v>
      </c>
      <c r="E27" s="364" t="s">
        <v>328</v>
      </c>
      <c r="F27" s="365"/>
    </row>
    <row r="28" spans="1:6" s="52" customFormat="1" ht="14.4">
      <c r="A28" s="258"/>
      <c r="B28" s="258" t="s">
        <v>410</v>
      </c>
      <c r="C28" s="258"/>
      <c r="D28" s="376"/>
      <c r="E28" s="377"/>
      <c r="F28" s="178"/>
    </row>
    <row r="29" spans="1:6" s="52" customFormat="1" ht="14.4">
      <c r="A29" s="387"/>
      <c r="B29" s="241"/>
      <c r="C29" s="388"/>
      <c r="D29" s="389"/>
      <c r="E29" s="390"/>
      <c r="F29" s="391"/>
    </row>
    <row r="30" spans="1:6" s="52" customFormat="1" ht="44.4" customHeight="1">
      <c r="A30" s="387"/>
      <c r="B30" s="374" t="s">
        <v>302</v>
      </c>
      <c r="C30" s="388"/>
      <c r="D30" s="389"/>
      <c r="E30" s="390"/>
      <c r="F30" s="391"/>
    </row>
    <row r="31" spans="1:6" s="52" customFormat="1" ht="43.2">
      <c r="A31" s="387">
        <v>16.7</v>
      </c>
      <c r="B31" s="241" t="s">
        <v>553</v>
      </c>
      <c r="C31" s="388" t="s">
        <v>352</v>
      </c>
      <c r="D31" s="389">
        <v>22</v>
      </c>
      <c r="E31" s="390"/>
      <c r="F31" s="391"/>
    </row>
    <row r="32" spans="1:6" s="52" customFormat="1" ht="14.4">
      <c r="A32" s="387"/>
      <c r="B32" s="241"/>
      <c r="C32" s="388"/>
      <c r="D32" s="389"/>
      <c r="E32" s="390"/>
      <c r="F32" s="391"/>
    </row>
    <row r="33" spans="1:6" s="52" customFormat="1" ht="14.4">
      <c r="A33" s="387"/>
      <c r="B33" s="374" t="s">
        <v>533</v>
      </c>
      <c r="C33" s="388"/>
      <c r="D33" s="389"/>
      <c r="E33" s="390"/>
      <c r="F33" s="391"/>
    </row>
    <row r="34" spans="1:6" s="52" customFormat="1" ht="28.8">
      <c r="A34" s="387">
        <v>16.8</v>
      </c>
      <c r="B34" s="241" t="s">
        <v>541</v>
      </c>
      <c r="C34" s="388" t="s">
        <v>350</v>
      </c>
      <c r="D34" s="389">
        <f>2*4*0.13</f>
        <v>1.04</v>
      </c>
      <c r="E34" s="390"/>
      <c r="F34" s="391"/>
    </row>
    <row r="35" spans="1:6" s="52" customFormat="1" ht="28.8">
      <c r="A35" s="387"/>
      <c r="B35" s="241" t="s">
        <v>542</v>
      </c>
      <c r="C35" s="388"/>
      <c r="D35" s="389"/>
      <c r="E35" s="390"/>
      <c r="F35" s="391"/>
    </row>
    <row r="36" spans="1:6" s="52" customFormat="1" ht="14.4">
      <c r="A36" s="387"/>
      <c r="B36" s="241"/>
      <c r="C36" s="388"/>
      <c r="D36" s="389"/>
      <c r="E36" s="390"/>
      <c r="F36" s="391"/>
    </row>
    <row r="37" spans="1:6" s="52" customFormat="1" ht="14.4">
      <c r="A37" s="387"/>
      <c r="B37" s="374" t="s">
        <v>534</v>
      </c>
      <c r="C37" s="388"/>
      <c r="D37" s="389"/>
      <c r="E37" s="390"/>
      <c r="F37" s="391"/>
    </row>
    <row r="38" spans="1:6" s="52" customFormat="1" ht="14.4">
      <c r="A38" s="387"/>
      <c r="B38" s="374" t="s">
        <v>535</v>
      </c>
      <c r="C38" s="388"/>
      <c r="D38" s="389"/>
      <c r="E38" s="390"/>
      <c r="F38" s="391"/>
    </row>
    <row r="39" spans="1:6" s="52" customFormat="1" ht="28.8">
      <c r="A39" s="387">
        <v>16.899999999999999</v>
      </c>
      <c r="B39" s="241" t="s">
        <v>543</v>
      </c>
      <c r="C39" s="388" t="s">
        <v>351</v>
      </c>
      <c r="D39" s="389">
        <v>65</v>
      </c>
      <c r="E39" s="390"/>
      <c r="F39" s="391"/>
    </row>
    <row r="40" spans="1:6" s="52" customFormat="1" ht="28.8">
      <c r="A40" s="387"/>
      <c r="B40" s="241" t="s">
        <v>544</v>
      </c>
      <c r="C40" s="388"/>
      <c r="D40" s="389"/>
      <c r="E40" s="390"/>
      <c r="F40" s="391"/>
    </row>
    <row r="41" spans="1:6" s="52" customFormat="1" ht="14.4">
      <c r="A41" s="387"/>
      <c r="B41" s="241" t="s">
        <v>545</v>
      </c>
      <c r="C41" s="388"/>
      <c r="D41" s="389"/>
      <c r="E41" s="390"/>
      <c r="F41" s="391"/>
    </row>
    <row r="42" spans="1:6" s="52" customFormat="1" ht="14.4">
      <c r="A42" s="433">
        <v>16.100000000000001</v>
      </c>
      <c r="B42" s="241" t="s">
        <v>537</v>
      </c>
      <c r="C42" s="388" t="s">
        <v>538</v>
      </c>
      <c r="D42" s="389">
        <v>12.5</v>
      </c>
      <c r="E42" s="390"/>
      <c r="F42" s="391"/>
    </row>
    <row r="43" spans="1:6" s="52" customFormat="1" ht="14.4">
      <c r="A43" s="387">
        <v>16.11</v>
      </c>
      <c r="B43" s="241" t="s">
        <v>546</v>
      </c>
      <c r="C43" s="388" t="s">
        <v>352</v>
      </c>
      <c r="D43" s="389">
        <v>12.5</v>
      </c>
      <c r="E43" s="390"/>
      <c r="F43" s="391"/>
    </row>
    <row r="44" spans="1:6" s="52" customFormat="1" ht="14.4">
      <c r="A44" s="387"/>
      <c r="B44" s="241"/>
      <c r="C44" s="388"/>
      <c r="D44" s="389"/>
      <c r="E44" s="390"/>
      <c r="F44" s="391"/>
    </row>
    <row r="45" spans="1:6" s="52" customFormat="1" ht="14.4">
      <c r="A45" s="387">
        <v>16.12</v>
      </c>
      <c r="B45" s="241" t="s">
        <v>547</v>
      </c>
      <c r="C45" s="388" t="s">
        <v>548</v>
      </c>
      <c r="D45" s="389">
        <v>1</v>
      </c>
      <c r="E45" s="390"/>
      <c r="F45" s="391"/>
    </row>
    <row r="46" spans="1:6" s="52" customFormat="1" ht="43.2">
      <c r="A46" s="387">
        <v>16.13</v>
      </c>
      <c r="B46" s="241" t="s">
        <v>549</v>
      </c>
      <c r="C46" s="388" t="s">
        <v>329</v>
      </c>
      <c r="D46" s="389">
        <v>1</v>
      </c>
      <c r="E46" s="390"/>
      <c r="F46" s="391"/>
    </row>
    <row r="47" spans="1:6" s="52" customFormat="1" ht="28.8">
      <c r="A47" s="387">
        <v>16.14</v>
      </c>
      <c r="B47" s="241" t="s">
        <v>550</v>
      </c>
      <c r="C47" s="388" t="s">
        <v>538</v>
      </c>
      <c r="D47" s="389">
        <v>12</v>
      </c>
      <c r="E47" s="390"/>
      <c r="F47" s="391"/>
    </row>
    <row r="48" spans="1:6" s="77" customFormat="1" ht="14.4">
      <c r="A48" s="387"/>
      <c r="B48" s="241"/>
      <c r="C48" s="388"/>
      <c r="D48" s="389"/>
      <c r="E48" s="390"/>
      <c r="F48" s="391"/>
    </row>
    <row r="49" spans="1:6" s="77" customFormat="1" ht="14.4">
      <c r="A49" s="387"/>
      <c r="B49" s="372" t="s">
        <v>533</v>
      </c>
      <c r="C49" s="388"/>
      <c r="D49" s="389"/>
      <c r="E49" s="390"/>
      <c r="F49" s="391"/>
    </row>
    <row r="50" spans="1:6" s="77" customFormat="1" ht="28.8">
      <c r="A50" s="387">
        <v>16.149999999999999</v>
      </c>
      <c r="B50" s="241" t="s">
        <v>551</v>
      </c>
      <c r="C50" s="388" t="s">
        <v>350</v>
      </c>
      <c r="D50" s="389">
        <v>0.3</v>
      </c>
      <c r="E50" s="390"/>
      <c r="F50" s="391"/>
    </row>
    <row r="51" spans="1:6" s="77" customFormat="1" ht="43.2">
      <c r="A51" s="387">
        <v>16.16</v>
      </c>
      <c r="B51" s="241" t="s">
        <v>552</v>
      </c>
      <c r="C51" s="388" t="s">
        <v>351</v>
      </c>
      <c r="D51" s="389">
        <v>22</v>
      </c>
      <c r="E51" s="390"/>
      <c r="F51" s="391"/>
    </row>
    <row r="52" spans="1:6" s="77" customFormat="1" ht="14.4">
      <c r="A52" s="387"/>
      <c r="B52" s="241"/>
      <c r="C52" s="388"/>
      <c r="D52" s="389"/>
      <c r="E52" s="390"/>
      <c r="F52" s="391"/>
    </row>
    <row r="53" spans="1:6" s="77" customFormat="1" ht="14.4">
      <c r="A53" s="387"/>
      <c r="B53" s="241"/>
      <c r="C53" s="388"/>
      <c r="D53" s="389"/>
      <c r="E53" s="390"/>
      <c r="F53" s="391"/>
    </row>
    <row r="54" spans="1:6" s="77" customFormat="1" ht="14.4">
      <c r="A54" s="393"/>
      <c r="B54" s="245" t="s">
        <v>488</v>
      </c>
      <c r="C54" s="393"/>
      <c r="D54" s="394"/>
      <c r="E54" s="393"/>
      <c r="F54" s="395"/>
    </row>
    <row r="55" spans="1:6" s="77" customFormat="1" ht="14.4">
      <c r="A55" s="361"/>
      <c r="B55" s="361"/>
      <c r="C55" s="361"/>
      <c r="D55" s="362"/>
      <c r="E55" s="361"/>
      <c r="F55" s="363"/>
    </row>
    <row r="56" spans="1:6" s="77" customFormat="1" ht="14.4">
      <c r="A56"/>
      <c r="B56"/>
      <c r="C56"/>
      <c r="D56" s="78"/>
      <c r="E56"/>
      <c r="F56" s="44"/>
    </row>
    <row r="57" spans="1:6" s="77" customFormat="1" ht="14.4">
      <c r="A57"/>
      <c r="B57"/>
      <c r="C57"/>
      <c r="D57" s="78"/>
      <c r="E57"/>
      <c r="F57" s="44"/>
    </row>
    <row r="58" spans="1:6" s="77" customFormat="1" ht="14.4">
      <c r="A58"/>
      <c r="B58"/>
      <c r="C58"/>
      <c r="D58" s="78"/>
      <c r="E58"/>
      <c r="F58" s="44"/>
    </row>
    <row r="59" spans="1:6" s="77" customFormat="1" ht="14.4">
      <c r="A59"/>
      <c r="B59"/>
      <c r="C59"/>
      <c r="D59" s="78"/>
      <c r="E59"/>
      <c r="F59" s="44"/>
    </row>
    <row r="60" spans="1:6" s="77" customFormat="1" ht="14.4">
      <c r="A60"/>
      <c r="B60"/>
      <c r="C60"/>
      <c r="D60" s="78"/>
      <c r="E60"/>
      <c r="F60" s="44"/>
    </row>
    <row r="61" spans="1:6" s="77" customFormat="1" ht="14.4">
      <c r="A61"/>
      <c r="B61"/>
      <c r="C61"/>
      <c r="D61" s="78"/>
      <c r="E61"/>
      <c r="F61" s="44"/>
    </row>
    <row r="62" spans="1:6" s="77" customFormat="1" ht="14.4">
      <c r="A62"/>
      <c r="B62"/>
      <c r="C62"/>
      <c r="D62" s="78"/>
      <c r="E62"/>
      <c r="F62" s="44"/>
    </row>
    <row r="63" spans="1:6" s="77" customFormat="1" ht="14.4">
      <c r="A63"/>
      <c r="B63"/>
      <c r="C63"/>
      <c r="D63" s="78"/>
      <c r="E63"/>
      <c r="F63" s="44"/>
    </row>
    <row r="64" spans="1:6" s="77" customFormat="1" ht="14.4">
      <c r="A64"/>
      <c r="B64"/>
      <c r="C64"/>
      <c r="D64" s="78"/>
      <c r="E64"/>
      <c r="F64" s="44"/>
    </row>
    <row r="65" spans="1:6" s="77" customFormat="1" ht="14.4">
      <c r="A65"/>
      <c r="B65"/>
      <c r="C65"/>
      <c r="D65" s="78"/>
      <c r="E65"/>
      <c r="F65" s="44"/>
    </row>
    <row r="66" spans="1:6" s="77" customFormat="1" ht="14.4">
      <c r="A66"/>
      <c r="B66"/>
      <c r="C66"/>
      <c r="D66" s="78"/>
      <c r="E66"/>
      <c r="F66" s="44"/>
    </row>
    <row r="67" spans="1:6" s="77" customFormat="1" ht="14.4">
      <c r="A67"/>
      <c r="B67"/>
      <c r="C67"/>
      <c r="D67" s="78"/>
      <c r="E67"/>
      <c r="F67" s="44"/>
    </row>
    <row r="68" spans="1:6" s="77" customFormat="1" ht="14.4">
      <c r="A68"/>
      <c r="B68"/>
      <c r="C68"/>
      <c r="D68" s="78"/>
      <c r="E68"/>
      <c r="F68" s="44"/>
    </row>
    <row r="69" spans="1:6" s="77" customFormat="1" ht="14.4">
      <c r="A69"/>
      <c r="B69"/>
      <c r="C69"/>
      <c r="D69" s="78"/>
      <c r="E69"/>
      <c r="F69" s="44"/>
    </row>
    <row r="70" spans="1:6" s="77" customFormat="1" ht="14.4">
      <c r="A70"/>
      <c r="B70"/>
      <c r="C70"/>
      <c r="D70" s="78"/>
      <c r="E70"/>
      <c r="F70" s="44"/>
    </row>
    <row r="71" spans="1:6" s="77" customFormat="1" ht="14.4">
      <c r="A71"/>
      <c r="B71"/>
      <c r="C71"/>
      <c r="D71" s="78"/>
      <c r="E71"/>
      <c r="F71" s="44"/>
    </row>
    <row r="72" spans="1:6" s="77" customFormat="1" ht="14.4">
      <c r="A72"/>
      <c r="B72"/>
      <c r="C72"/>
      <c r="D72" s="78"/>
      <c r="E72"/>
      <c r="F72" s="44"/>
    </row>
    <row r="73" spans="1:6" s="77" customFormat="1" ht="14.4">
      <c r="A73"/>
      <c r="B73"/>
      <c r="C73"/>
      <c r="D73" s="78"/>
      <c r="E73"/>
      <c r="F73" s="44"/>
    </row>
    <row r="74" spans="1:6" s="77" customFormat="1" ht="14.4">
      <c r="A74"/>
      <c r="B74"/>
      <c r="C74"/>
      <c r="D74" s="78"/>
      <c r="E74"/>
      <c r="F74" s="44"/>
    </row>
    <row r="75" spans="1:6" s="77" customFormat="1" ht="14.4">
      <c r="A75"/>
      <c r="B75"/>
      <c r="C75"/>
      <c r="D75" s="78"/>
      <c r="E75"/>
      <c r="F75" s="44"/>
    </row>
    <row r="76" spans="1:6" s="77" customFormat="1" ht="14.4">
      <c r="A76"/>
      <c r="B76"/>
      <c r="C76"/>
      <c r="D76" s="78"/>
      <c r="E76"/>
      <c r="F76" s="44"/>
    </row>
    <row r="77" spans="1:6" s="77" customFormat="1" ht="14.4">
      <c r="A77"/>
      <c r="B77"/>
      <c r="C77"/>
      <c r="D77" s="78"/>
      <c r="E77"/>
      <c r="F77" s="44"/>
    </row>
    <row r="78" spans="1:6" s="77" customFormat="1" ht="14.4">
      <c r="A78"/>
      <c r="B78"/>
      <c r="C78"/>
      <c r="D78" s="78"/>
      <c r="E78"/>
      <c r="F78" s="44"/>
    </row>
    <row r="79" spans="1:6" s="77" customFormat="1" ht="14.4">
      <c r="A79"/>
      <c r="B79"/>
      <c r="C79"/>
      <c r="D79" s="78"/>
      <c r="E79"/>
      <c r="F79" s="44"/>
    </row>
    <row r="80" spans="1:6" s="77" customFormat="1" ht="14.4">
      <c r="A80"/>
      <c r="B80"/>
      <c r="C80"/>
      <c r="D80" s="78"/>
      <c r="E80"/>
      <c r="F80" s="44"/>
    </row>
    <row r="81" spans="1:6" s="396" customFormat="1" ht="14.4">
      <c r="A81"/>
      <c r="B81"/>
      <c r="C81"/>
      <c r="D81" s="78"/>
      <c r="E81"/>
      <c r="F81" s="44"/>
    </row>
    <row r="82" spans="1:6" s="396" customFormat="1" ht="14.4">
      <c r="A82"/>
      <c r="B82"/>
      <c r="C82"/>
      <c r="D82" s="78"/>
      <c r="E82"/>
      <c r="F82" s="44"/>
    </row>
    <row r="83" spans="1:6" s="396" customFormat="1" ht="14.4">
      <c r="A83"/>
      <c r="B83"/>
      <c r="C83"/>
      <c r="D83" s="78"/>
      <c r="E83"/>
      <c r="F83" s="44"/>
    </row>
    <row r="84" spans="1:6" s="52" customFormat="1" ht="14.4">
      <c r="A84"/>
      <c r="B84"/>
      <c r="C84"/>
      <c r="D84" s="78"/>
      <c r="E84"/>
      <c r="F84" s="44"/>
    </row>
    <row r="85" spans="1:6" s="52" customFormat="1" ht="14.4">
      <c r="A85"/>
      <c r="B85"/>
      <c r="C85"/>
      <c r="D85" s="78"/>
      <c r="E85"/>
      <c r="F85" s="44"/>
    </row>
    <row r="86" spans="1:6" s="77" customFormat="1" ht="14.4">
      <c r="A86"/>
      <c r="B86"/>
      <c r="C86"/>
      <c r="D86" s="78"/>
      <c r="E86"/>
      <c r="F86" s="44"/>
    </row>
    <row r="87" spans="1:6" s="77" customFormat="1" ht="14.4">
      <c r="A87"/>
      <c r="B87"/>
      <c r="C87"/>
      <c r="D87" s="78"/>
      <c r="E87"/>
      <c r="F87" s="44"/>
    </row>
    <row r="88" spans="1:6" s="77" customFormat="1" ht="14.4">
      <c r="A88"/>
      <c r="B88"/>
      <c r="C88"/>
      <c r="D88" s="78"/>
      <c r="E88"/>
      <c r="F88" s="44"/>
    </row>
    <row r="89" spans="1:6" s="77" customFormat="1" ht="14.4">
      <c r="A89"/>
      <c r="B89"/>
      <c r="C89"/>
      <c r="D89" s="78"/>
      <c r="E89"/>
      <c r="F89" s="44"/>
    </row>
    <row r="90" spans="1:6" s="77" customFormat="1" ht="14.4">
      <c r="A90"/>
      <c r="B90"/>
      <c r="C90"/>
      <c r="D90" s="78"/>
      <c r="E90"/>
      <c r="F90" s="44"/>
    </row>
    <row r="91" spans="1:6" s="77" customFormat="1" ht="14.4">
      <c r="A91"/>
      <c r="B91"/>
      <c r="C91"/>
      <c r="D91" s="78"/>
      <c r="E91"/>
      <c r="F91" s="44"/>
    </row>
    <row r="92" spans="1:6" s="77" customFormat="1" ht="14.4">
      <c r="A92"/>
      <c r="B92"/>
      <c r="C92"/>
      <c r="D92" s="78"/>
      <c r="E92"/>
      <c r="F92" s="44"/>
    </row>
    <row r="93" spans="1:6" s="77" customFormat="1" ht="14.4">
      <c r="A93"/>
      <c r="B93"/>
      <c r="C93"/>
      <c r="D93" s="78"/>
      <c r="E93"/>
      <c r="F93" s="44"/>
    </row>
    <row r="94" spans="1:6" s="77" customFormat="1" ht="14.4">
      <c r="A94"/>
      <c r="B94"/>
      <c r="C94"/>
      <c r="D94" s="78"/>
      <c r="E94"/>
      <c r="F94" s="44"/>
    </row>
    <row r="95" spans="1:6" s="77" customFormat="1" ht="14.4">
      <c r="A95"/>
      <c r="B95"/>
      <c r="C95"/>
      <c r="D95" s="78"/>
      <c r="E95"/>
      <c r="F95" s="44"/>
    </row>
    <row r="96" spans="1:6" s="77" customFormat="1" ht="14.4">
      <c r="A96"/>
      <c r="B96"/>
      <c r="C96"/>
      <c r="D96" s="78"/>
      <c r="E96"/>
      <c r="F96" s="44"/>
    </row>
    <row r="97" spans="1:6" s="77" customFormat="1" ht="14.4">
      <c r="A97"/>
      <c r="B97"/>
      <c r="C97"/>
      <c r="D97" s="78"/>
      <c r="E97"/>
      <c r="F97" s="44"/>
    </row>
    <row r="98" spans="1:6" s="77" customFormat="1" ht="14.4">
      <c r="A98"/>
      <c r="B98"/>
      <c r="C98"/>
      <c r="D98" s="78"/>
      <c r="E98"/>
      <c r="F98" s="44"/>
    </row>
    <row r="99" spans="1:6" s="77" customFormat="1" ht="14.4">
      <c r="A99"/>
      <c r="B99"/>
      <c r="C99"/>
      <c r="D99" s="78"/>
      <c r="E99"/>
      <c r="F99" s="44"/>
    </row>
    <row r="100" spans="1:6" s="77" customFormat="1" ht="14.4">
      <c r="A100"/>
      <c r="B100"/>
      <c r="C100"/>
      <c r="D100" s="78"/>
      <c r="E100"/>
      <c r="F100" s="44"/>
    </row>
    <row r="101" spans="1:6" s="77" customFormat="1" ht="14.4">
      <c r="A101"/>
      <c r="B101"/>
      <c r="C101"/>
      <c r="D101" s="78"/>
      <c r="E101"/>
      <c r="F101" s="44"/>
    </row>
    <row r="102" spans="1:6" s="77" customFormat="1" ht="14.4">
      <c r="A102"/>
      <c r="B102"/>
      <c r="C102"/>
      <c r="D102" s="78"/>
      <c r="E102"/>
      <c r="F102" s="44"/>
    </row>
    <row r="103" spans="1:6" s="77" customFormat="1" ht="14.4">
      <c r="A103"/>
      <c r="B103"/>
      <c r="C103"/>
      <c r="D103" s="78"/>
      <c r="E103"/>
      <c r="F103" s="44"/>
    </row>
    <row r="104" spans="1:6" s="77" customFormat="1" ht="14.4">
      <c r="A104"/>
      <c r="B104"/>
      <c r="C104"/>
      <c r="D104" s="78"/>
      <c r="E104"/>
      <c r="F104" s="44"/>
    </row>
    <row r="105" spans="1:6" s="77" customFormat="1" ht="14.4">
      <c r="A105"/>
      <c r="B105"/>
      <c r="C105"/>
      <c r="D105" s="78"/>
      <c r="E105"/>
      <c r="F105" s="44"/>
    </row>
    <row r="106" spans="1:6" s="77" customFormat="1" ht="14.4">
      <c r="A106"/>
      <c r="B106"/>
      <c r="C106"/>
      <c r="D106" s="78"/>
      <c r="E106"/>
      <c r="F106" s="44"/>
    </row>
    <row r="107" spans="1:6" s="77" customFormat="1" ht="14.4">
      <c r="A107"/>
      <c r="B107"/>
      <c r="C107"/>
      <c r="D107" s="78"/>
      <c r="E107"/>
      <c r="F107" s="44"/>
    </row>
    <row r="108" spans="1:6" s="77" customFormat="1" ht="14.4">
      <c r="A108"/>
      <c r="B108"/>
      <c r="C108"/>
      <c r="D108" s="78"/>
      <c r="E108"/>
      <c r="F108" s="44"/>
    </row>
  </sheetData>
  <customSheetViews>
    <customSheetView guid="{58A41188-4CB9-4607-A927-9B98665919B2}" scale="112" showPageBreaks="1" view="pageBreakPreview" topLeftCell="A105">
      <selection activeCell="B188" sqref="B188"/>
      <rowBreaks count="4" manualBreakCount="4">
        <brk id="187" max="16383" man="1"/>
        <brk id="223" max="16383" man="1"/>
        <brk id="259" max="16383" man="1"/>
        <brk id="303" max="16383" man="1"/>
      </rowBreaks>
      <pageMargins left="0.7" right="0.7" top="0.75" bottom="0.75" header="0.3" footer="0.3"/>
      <pageSetup orientation="portrait" r:id="rId1"/>
    </customSheetView>
    <customSheetView guid="{1E933494-4ABB-4290-95BF-88ADDB331983}" scale="112" showPageBreaks="1" printArea="1" view="pageBreakPreview" topLeftCell="A197">
      <selection activeCell="D211" sqref="D211"/>
      <rowBreaks count="2" manualBreakCount="2">
        <brk id="38" max="5" man="1"/>
        <brk id="73" max="5" man="1"/>
      </rowBreaks>
      <pageMargins left="0.7" right="0.7" top="0.75" bottom="0.75" header="0.3" footer="0.3"/>
      <pageSetup paperSize="9" scale="98" orientation="portrait" r:id="rId2"/>
    </customSheetView>
  </customSheetViews>
  <pageMargins left="0.7" right="0.7" top="0.75" bottom="0.75" header="0.3" footer="0.3"/>
  <pageSetup scale="82" orientation="portrait" r:id="rId3"/>
  <rowBreaks count="4" manualBreakCount="4">
    <brk id="26" max="16383" man="1"/>
    <brk id="71" max="16383" man="1"/>
    <brk id="107" max="16383" man="1"/>
    <brk id="15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view="pageBreakPreview" zoomScale="107" zoomScaleNormal="100" zoomScaleSheetLayoutView="107" workbookViewId="0">
      <selection activeCell="E2" sqref="E2:E41"/>
    </sheetView>
  </sheetViews>
  <sheetFormatPr defaultColWidth="8.88671875" defaultRowHeight="13.2"/>
  <cols>
    <col min="1" max="1" width="7" style="717" customWidth="1"/>
    <col min="2" max="2" width="52.109375" style="717" customWidth="1"/>
    <col min="3" max="3" width="7" style="717" bestFit="1" customWidth="1"/>
    <col min="4" max="4" width="9.6640625" style="717" bestFit="1" customWidth="1"/>
    <col min="5" max="5" width="10.44140625" style="717" bestFit="1" customWidth="1"/>
    <col min="6" max="6" width="15.5546875" style="742" bestFit="1" customWidth="1"/>
    <col min="7" max="16384" width="8.88671875" style="717"/>
  </cols>
  <sheetData>
    <row r="1" spans="1:6" s="743" customFormat="1" ht="28.8">
      <c r="A1" s="705" t="s">
        <v>928</v>
      </c>
      <c r="B1" s="706" t="s">
        <v>13</v>
      </c>
      <c r="C1" s="706" t="s">
        <v>330</v>
      </c>
      <c r="D1" s="707" t="s">
        <v>331</v>
      </c>
      <c r="E1" s="708" t="s">
        <v>332</v>
      </c>
      <c r="F1" s="709"/>
    </row>
    <row r="2" spans="1:6" s="716" customFormat="1" ht="14.4">
      <c r="A2" s="711">
        <v>17</v>
      </c>
      <c r="B2" s="625" t="str">
        <f>'1 Preliminaries '!B2</f>
        <v>PROPOSED MALE TRANSITION CENTER - BAIDOA</v>
      </c>
      <c r="C2" s="712"/>
      <c r="D2" s="713"/>
      <c r="E2" s="714"/>
      <c r="F2" s="715"/>
    </row>
    <row r="3" spans="1:6" s="716" customFormat="1" ht="14.4">
      <c r="A3" s="711"/>
      <c r="B3" s="625" t="s">
        <v>1673</v>
      </c>
      <c r="C3" s="712"/>
      <c r="D3" s="713"/>
      <c r="E3" s="714"/>
      <c r="F3" s="715"/>
    </row>
    <row r="4" spans="1:6" s="716" customFormat="1" ht="14.4">
      <c r="A4" s="711"/>
      <c r="B4" s="625"/>
      <c r="C4" s="712"/>
      <c r="D4" s="713"/>
      <c r="E4" s="714"/>
      <c r="F4" s="715"/>
    </row>
    <row r="5" spans="1:6" ht="14.4">
      <c r="A5" s="711"/>
      <c r="B5" s="625" t="s">
        <v>931</v>
      </c>
      <c r="C5" s="712"/>
      <c r="D5" s="713"/>
      <c r="E5" s="714"/>
      <c r="F5" s="715"/>
    </row>
    <row r="6" spans="1:6" s="710" customFormat="1" ht="14.4">
      <c r="A6" s="711"/>
      <c r="B6" s="625" t="s">
        <v>1699</v>
      </c>
      <c r="C6" s="712"/>
      <c r="D6" s="713"/>
      <c r="E6" s="714"/>
      <c r="F6" s="715"/>
    </row>
    <row r="7" spans="1:6" s="710" customFormat="1" ht="43.2">
      <c r="A7" s="705">
        <v>17.100000000000001</v>
      </c>
      <c r="B7" s="722" t="s">
        <v>1700</v>
      </c>
      <c r="C7" s="723" t="s">
        <v>930</v>
      </c>
      <c r="D7" s="723">
        <v>288</v>
      </c>
      <c r="E7" s="723"/>
      <c r="F7" s="724"/>
    </row>
    <row r="8" spans="1:6" s="710" customFormat="1" ht="14.4">
      <c r="A8" s="705"/>
      <c r="B8" s="718"/>
      <c r="C8" s="719"/>
      <c r="D8" s="720"/>
      <c r="E8" s="626"/>
      <c r="F8" s="721"/>
    </row>
    <row r="9" spans="1:6" s="710" customFormat="1" ht="14.4">
      <c r="A9" s="726"/>
      <c r="B9" s="727" t="s">
        <v>934</v>
      </c>
      <c r="C9" s="727"/>
      <c r="D9" s="727"/>
      <c r="E9" s="727"/>
      <c r="F9" s="728"/>
    </row>
    <row r="10" spans="1:6" s="710" customFormat="1" ht="115.2">
      <c r="A10" s="726">
        <v>17.2</v>
      </c>
      <c r="B10" s="722" t="s">
        <v>929</v>
      </c>
      <c r="C10" s="723" t="s">
        <v>930</v>
      </c>
      <c r="D10" s="723">
        <f>72*6</f>
        <v>432</v>
      </c>
      <c r="E10" s="723"/>
      <c r="F10" s="724"/>
    </row>
    <row r="11" spans="1:6" s="710" customFormat="1" ht="14.4">
      <c r="A11" s="726"/>
      <c r="B11" s="723"/>
      <c r="C11" s="723"/>
      <c r="D11" s="723"/>
      <c r="E11" s="723"/>
      <c r="F11" s="724"/>
    </row>
    <row r="12" spans="1:6" s="710" customFormat="1" ht="14.4">
      <c r="A12" s="729"/>
      <c r="B12" s="730" t="s">
        <v>693</v>
      </c>
      <c r="C12" s="731"/>
      <c r="D12" s="732"/>
      <c r="E12" s="732"/>
      <c r="F12" s="733"/>
    </row>
    <row r="13" spans="1:6" ht="14.4">
      <c r="A13" s="732"/>
      <c r="B13" s="732"/>
      <c r="C13" s="732"/>
      <c r="D13" s="734"/>
      <c r="E13" s="735"/>
      <c r="F13" s="736"/>
    </row>
    <row r="14" spans="1:6" ht="14.4">
      <c r="A14" s="725"/>
      <c r="B14" s="625" t="s">
        <v>932</v>
      </c>
      <c r="C14" s="723"/>
      <c r="D14" s="723"/>
      <c r="E14" s="723"/>
      <c r="F14" s="724"/>
    </row>
    <row r="15" spans="1:6" ht="14.4">
      <c r="A15" s="725"/>
      <c r="B15" s="722"/>
      <c r="C15" s="723"/>
      <c r="D15" s="723"/>
      <c r="E15" s="723"/>
      <c r="F15" s="724"/>
    </row>
    <row r="16" spans="1:6" ht="14.4">
      <c r="A16" s="725"/>
      <c r="B16" s="737" t="s">
        <v>933</v>
      </c>
      <c r="C16" s="723"/>
      <c r="D16" s="723"/>
      <c r="E16" s="723"/>
      <c r="F16" s="724"/>
    </row>
    <row r="17" spans="1:6" ht="16.2">
      <c r="A17" s="726">
        <v>17.3</v>
      </c>
      <c r="B17" s="607" t="s">
        <v>698</v>
      </c>
      <c r="C17" s="723" t="s">
        <v>465</v>
      </c>
      <c r="D17" s="723">
        <v>200</v>
      </c>
      <c r="E17" s="723"/>
      <c r="F17" s="605"/>
    </row>
    <row r="18" spans="1:6" ht="16.2">
      <c r="A18" s="726">
        <v>17.399999999999999</v>
      </c>
      <c r="B18" s="607" t="s">
        <v>935</v>
      </c>
      <c r="C18" s="723" t="s">
        <v>689</v>
      </c>
      <c r="D18" s="723">
        <f>200*0.31</f>
        <v>62</v>
      </c>
      <c r="E18" s="723"/>
      <c r="F18" s="605"/>
    </row>
    <row r="19" spans="1:6" ht="14.4">
      <c r="A19" s="726"/>
      <c r="B19" s="607"/>
      <c r="C19" s="723"/>
      <c r="D19" s="723"/>
      <c r="E19" s="723"/>
      <c r="F19" s="605"/>
    </row>
    <row r="20" spans="1:6" ht="14.4">
      <c r="A20" s="726"/>
      <c r="B20" s="596" t="s">
        <v>699</v>
      </c>
      <c r="C20" s="723"/>
      <c r="D20" s="723"/>
      <c r="E20" s="723"/>
      <c r="F20" s="738"/>
    </row>
    <row r="21" spans="1:6" ht="28.8">
      <c r="A21" s="726">
        <v>17.5</v>
      </c>
      <c r="B21" s="607" t="s">
        <v>700</v>
      </c>
      <c r="C21" s="723" t="s">
        <v>936</v>
      </c>
      <c r="D21" s="723">
        <f>200*0.1</f>
        <v>20</v>
      </c>
      <c r="E21" s="723"/>
      <c r="F21" s="605"/>
    </row>
    <row r="22" spans="1:6" ht="28.8">
      <c r="A22" s="726">
        <v>17.600000000000001</v>
      </c>
      <c r="B22" s="607" t="s">
        <v>701</v>
      </c>
      <c r="C22" s="723" t="s">
        <v>465</v>
      </c>
      <c r="D22" s="723">
        <v>200</v>
      </c>
      <c r="E22" s="723"/>
      <c r="F22" s="605"/>
    </row>
    <row r="23" spans="1:6" ht="14.4">
      <c r="A23" s="726"/>
      <c r="B23" s="607"/>
      <c r="C23" s="723"/>
      <c r="D23" s="723"/>
      <c r="E23" s="723"/>
      <c r="F23" s="605"/>
    </row>
    <row r="24" spans="1:6" ht="14.4">
      <c r="A24" s="725"/>
      <c r="B24" s="596" t="s">
        <v>471</v>
      </c>
      <c r="C24" s="723"/>
      <c r="D24" s="723"/>
      <c r="E24" s="723"/>
      <c r="F24" s="605"/>
    </row>
    <row r="25" spans="1:6" ht="14.4">
      <c r="A25" s="739">
        <v>17.7</v>
      </c>
      <c r="B25" s="607" t="s">
        <v>478</v>
      </c>
      <c r="C25" s="723" t="s">
        <v>472</v>
      </c>
      <c r="D25" s="723">
        <f>100*0.15</f>
        <v>15</v>
      </c>
      <c r="E25" s="723"/>
      <c r="F25" s="605"/>
    </row>
    <row r="26" spans="1:6" ht="14.4">
      <c r="A26" s="725"/>
      <c r="B26" s="596" t="s">
        <v>479</v>
      </c>
      <c r="C26" s="723"/>
      <c r="D26" s="723"/>
      <c r="E26" s="723"/>
      <c r="F26" s="605"/>
    </row>
    <row r="27" spans="1:6" ht="28.8">
      <c r="A27" s="739">
        <v>17.8</v>
      </c>
      <c r="B27" s="607" t="s">
        <v>480</v>
      </c>
      <c r="C27" s="723" t="s">
        <v>465</v>
      </c>
      <c r="D27" s="723">
        <f>D17</f>
        <v>200</v>
      </c>
      <c r="E27" s="723"/>
      <c r="F27" s="605"/>
    </row>
    <row r="28" spans="1:6" ht="14.4">
      <c r="A28" s="725"/>
      <c r="B28" s="606" t="s">
        <v>481</v>
      </c>
      <c r="C28" s="723"/>
      <c r="D28" s="723"/>
      <c r="E28" s="723"/>
      <c r="F28" s="605"/>
    </row>
    <row r="29" spans="1:6" ht="28.8">
      <c r="A29" s="725"/>
      <c r="B29" s="610" t="s">
        <v>341</v>
      </c>
      <c r="C29" s="723"/>
      <c r="D29" s="723"/>
      <c r="E29" s="723"/>
      <c r="F29" s="605"/>
    </row>
    <row r="30" spans="1:6" ht="28.8">
      <c r="A30" s="739">
        <v>17.899999999999999</v>
      </c>
      <c r="B30" s="607" t="s">
        <v>937</v>
      </c>
      <c r="C30" s="723" t="s">
        <v>465</v>
      </c>
      <c r="D30" s="723">
        <v>200</v>
      </c>
      <c r="E30" s="723"/>
      <c r="F30" s="605"/>
    </row>
    <row r="31" spans="1:6" ht="14.4">
      <c r="A31" s="725"/>
      <c r="B31" s="596" t="s">
        <v>483</v>
      </c>
      <c r="C31" s="723"/>
      <c r="D31" s="723"/>
      <c r="E31" s="723"/>
      <c r="F31" s="740"/>
    </row>
    <row r="32" spans="1:6" ht="14.4">
      <c r="A32" s="729"/>
      <c r="B32" s="730" t="s">
        <v>693</v>
      </c>
      <c r="C32" s="731"/>
      <c r="D32" s="732"/>
      <c r="E32" s="732"/>
      <c r="F32" s="733"/>
    </row>
    <row r="33" spans="1:6" ht="14.4">
      <c r="A33" s="725"/>
      <c r="B33" s="722"/>
      <c r="C33" s="723"/>
      <c r="D33" s="723"/>
      <c r="E33" s="723"/>
      <c r="F33" s="724"/>
    </row>
    <row r="34" spans="1:6" ht="14.4">
      <c r="A34" s="725"/>
      <c r="B34" s="625"/>
      <c r="C34" s="723"/>
      <c r="D34" s="723"/>
      <c r="E34" s="723"/>
      <c r="F34" s="724"/>
    </row>
    <row r="35" spans="1:6" ht="14.4">
      <c r="A35" s="725"/>
      <c r="B35" s="722"/>
      <c r="C35" s="723"/>
      <c r="D35" s="723"/>
      <c r="E35" s="723"/>
      <c r="F35" s="724"/>
    </row>
    <row r="36" spans="1:6" ht="14.4">
      <c r="A36" s="573"/>
      <c r="B36" s="572" t="s">
        <v>669</v>
      </c>
      <c r="C36" s="570"/>
      <c r="D36" s="570"/>
      <c r="E36" s="570"/>
      <c r="F36" s="571"/>
    </row>
    <row r="37" spans="1:6" ht="14.4">
      <c r="A37" s="573"/>
      <c r="B37" s="570"/>
      <c r="C37" s="570"/>
      <c r="D37" s="570"/>
      <c r="E37" s="570"/>
      <c r="F37" s="571"/>
    </row>
    <row r="38" spans="1:6" ht="14.4">
      <c r="A38" s="573">
        <v>1</v>
      </c>
      <c r="B38" s="570" t="str">
        <f>B5</f>
        <v>ELEMENT NO. 1: PLAY GROUND</v>
      </c>
      <c r="C38" s="570"/>
      <c r="D38" s="570"/>
      <c r="E38" s="570"/>
      <c r="F38" s="571"/>
    </row>
    <row r="39" spans="1:6" ht="14.4">
      <c r="A39" s="573"/>
      <c r="B39" s="570"/>
      <c r="C39" s="570"/>
      <c r="D39" s="570"/>
      <c r="E39" s="570"/>
      <c r="F39" s="571"/>
    </row>
    <row r="40" spans="1:6" ht="14.4">
      <c r="A40" s="573">
        <v>2</v>
      </c>
      <c r="B40" s="570" t="str">
        <f>B14</f>
        <v>ELEMENT NO. 2: WALKWAYS</v>
      </c>
      <c r="C40" s="570"/>
      <c r="D40" s="570"/>
      <c r="E40" s="570"/>
      <c r="F40" s="571"/>
    </row>
    <row r="41" spans="1:6" ht="14.4">
      <c r="A41" s="573"/>
      <c r="B41" s="570"/>
      <c r="C41" s="570"/>
      <c r="D41" s="570"/>
      <c r="E41" s="570"/>
      <c r="F41" s="571"/>
    </row>
    <row r="42" spans="1:6" ht="14.4">
      <c r="A42" s="574"/>
      <c r="B42" s="572" t="s">
        <v>488</v>
      </c>
      <c r="C42" s="572"/>
      <c r="D42" s="572"/>
      <c r="E42" s="572"/>
      <c r="F42" s="741"/>
    </row>
    <row r="43" spans="1:6" ht="14.4">
      <c r="A43" s="725"/>
      <c r="B43" s="722"/>
      <c r="C43" s="723"/>
      <c r="D43" s="723"/>
      <c r="E43" s="723"/>
      <c r="F43" s="724"/>
    </row>
    <row r="44" spans="1:6" ht="14.4">
      <c r="A44" s="725"/>
      <c r="B44" s="722"/>
      <c r="C44" s="723"/>
      <c r="D44" s="723"/>
      <c r="E44" s="723"/>
      <c r="F44" s="724"/>
    </row>
    <row r="45" spans="1:6" ht="14.4">
      <c r="A45" s="725"/>
      <c r="B45" s="722"/>
      <c r="C45" s="723"/>
      <c r="D45" s="723"/>
      <c r="E45" s="723"/>
      <c r="F45" s="724"/>
    </row>
    <row r="46" spans="1:6" ht="14.4">
      <c r="A46" s="725"/>
      <c r="B46" s="722"/>
      <c r="C46" s="723"/>
      <c r="D46" s="723"/>
      <c r="E46" s="723"/>
      <c r="F46" s="724"/>
    </row>
    <row r="47" spans="1:6" ht="14.4">
      <c r="A47" s="725"/>
      <c r="B47" s="722"/>
      <c r="C47" s="723"/>
      <c r="D47" s="723"/>
      <c r="E47" s="723"/>
      <c r="F47" s="724"/>
    </row>
    <row r="48" spans="1:6" ht="14.4">
      <c r="A48" s="725"/>
      <c r="B48" s="722"/>
      <c r="C48" s="723"/>
      <c r="D48" s="723"/>
      <c r="E48" s="723"/>
      <c r="F48" s="724"/>
    </row>
    <row r="49" spans="1:6" ht="14.4">
      <c r="A49" s="725"/>
      <c r="B49" s="722"/>
      <c r="C49" s="723"/>
      <c r="D49" s="723"/>
      <c r="E49" s="723"/>
      <c r="F49" s="724"/>
    </row>
    <row r="50" spans="1:6" ht="14.4">
      <c r="A50" s="725"/>
      <c r="B50" s="722"/>
      <c r="C50" s="723"/>
      <c r="D50" s="723"/>
      <c r="E50" s="723"/>
      <c r="F50" s="724"/>
    </row>
    <row r="51" spans="1:6" ht="14.4">
      <c r="A51" s="725"/>
      <c r="B51" s="722"/>
      <c r="C51" s="723"/>
      <c r="D51" s="723"/>
      <c r="E51" s="723"/>
      <c r="F51" s="724"/>
    </row>
    <row r="52" spans="1:6" ht="14.4">
      <c r="A52" s="725"/>
      <c r="B52" s="722"/>
      <c r="C52" s="723"/>
      <c r="D52" s="723"/>
      <c r="E52" s="723"/>
      <c r="F52" s="724"/>
    </row>
    <row r="53" spans="1:6" ht="14.4">
      <c r="A53" s="725"/>
      <c r="B53" s="722"/>
      <c r="C53" s="723"/>
      <c r="D53" s="723"/>
      <c r="E53" s="723"/>
      <c r="F53" s="724"/>
    </row>
    <row r="54" spans="1:6" ht="14.4">
      <c r="A54" s="725"/>
      <c r="B54" s="722"/>
      <c r="C54" s="723"/>
      <c r="D54" s="723"/>
      <c r="E54" s="723"/>
      <c r="F54" s="724"/>
    </row>
    <row r="55" spans="1:6" ht="14.4">
      <c r="A55" s="725"/>
      <c r="B55" s="722"/>
      <c r="C55" s="723"/>
      <c r="D55" s="723"/>
      <c r="E55" s="723"/>
      <c r="F55" s="724"/>
    </row>
    <row r="56" spans="1:6" ht="14.4">
      <c r="A56" s="725"/>
      <c r="B56" s="722"/>
      <c r="C56" s="723"/>
      <c r="D56" s="723"/>
      <c r="E56" s="723"/>
      <c r="F56" s="724"/>
    </row>
    <row r="57" spans="1:6" ht="14.4">
      <c r="A57" s="725"/>
      <c r="B57" s="722"/>
      <c r="C57" s="723"/>
      <c r="D57" s="723"/>
      <c r="E57" s="723"/>
      <c r="F57" s="724"/>
    </row>
    <row r="58" spans="1:6" ht="14.4">
      <c r="A58" s="725"/>
      <c r="B58" s="722"/>
      <c r="C58" s="723"/>
      <c r="D58" s="723"/>
      <c r="E58" s="723"/>
      <c r="F58" s="724"/>
    </row>
    <row r="59" spans="1:6" ht="14.4">
      <c r="A59" s="725"/>
      <c r="B59" s="722"/>
      <c r="C59" s="723"/>
      <c r="D59" s="723"/>
      <c r="E59" s="723"/>
      <c r="F59" s="724"/>
    </row>
    <row r="60" spans="1:6" ht="14.4">
      <c r="A60" s="725"/>
      <c r="B60" s="722"/>
      <c r="C60" s="723"/>
      <c r="D60" s="723"/>
      <c r="E60" s="723"/>
      <c r="F60" s="724"/>
    </row>
    <row r="61" spans="1:6" ht="14.4">
      <c r="A61" s="725"/>
      <c r="B61" s="722"/>
      <c r="C61" s="723"/>
      <c r="D61" s="723"/>
      <c r="E61" s="723"/>
      <c r="F61" s="724"/>
    </row>
    <row r="62" spans="1:6" ht="14.4">
      <c r="A62" s="725"/>
      <c r="B62" s="722"/>
      <c r="C62" s="723"/>
      <c r="D62" s="723"/>
      <c r="E62" s="723"/>
      <c r="F62" s="724"/>
    </row>
    <row r="63" spans="1:6" ht="14.4">
      <c r="A63" s="725"/>
      <c r="B63" s="722"/>
      <c r="C63" s="723"/>
      <c r="D63" s="723"/>
      <c r="E63" s="723"/>
      <c r="F63" s="724"/>
    </row>
    <row r="64" spans="1:6" ht="14.4">
      <c r="A64" s="725"/>
      <c r="B64" s="722"/>
      <c r="C64" s="723"/>
      <c r="D64" s="723"/>
      <c r="E64" s="723"/>
      <c r="F64" s="724"/>
    </row>
    <row r="65" spans="1:6" ht="14.4">
      <c r="A65" s="725"/>
      <c r="B65" s="722"/>
      <c r="C65" s="723"/>
      <c r="D65" s="723"/>
      <c r="E65" s="723"/>
      <c r="F65" s="724"/>
    </row>
    <row r="66" spans="1:6" ht="14.4">
      <c r="A66" s="725"/>
      <c r="B66" s="722"/>
      <c r="C66" s="723"/>
      <c r="D66" s="723"/>
      <c r="E66" s="723"/>
      <c r="F66" s="724"/>
    </row>
    <row r="67" spans="1:6" ht="14.4">
      <c r="A67" s="725"/>
      <c r="B67" s="722"/>
      <c r="C67" s="723"/>
      <c r="D67" s="723"/>
      <c r="E67" s="723"/>
      <c r="F67" s="724"/>
    </row>
    <row r="68" spans="1:6" ht="14.4">
      <c r="A68" s="725"/>
      <c r="B68" s="722"/>
      <c r="C68" s="723"/>
      <c r="D68" s="723"/>
      <c r="E68" s="723"/>
      <c r="F68" s="724"/>
    </row>
    <row r="69" spans="1:6" ht="14.4">
      <c r="A69" s="725"/>
      <c r="B69" s="722"/>
      <c r="C69" s="723"/>
      <c r="D69" s="723"/>
      <c r="E69" s="723"/>
      <c r="F69" s="724"/>
    </row>
    <row r="70" spans="1:6" ht="14.4">
      <c r="A70" s="725"/>
      <c r="B70" s="722"/>
      <c r="C70" s="723"/>
      <c r="D70" s="723"/>
      <c r="E70" s="723"/>
      <c r="F70" s="724"/>
    </row>
    <row r="71" spans="1:6" ht="14.4">
      <c r="A71" s="725"/>
      <c r="B71" s="722"/>
      <c r="C71" s="723"/>
      <c r="D71" s="723"/>
      <c r="E71" s="723"/>
      <c r="F71" s="724"/>
    </row>
    <row r="72" spans="1:6" ht="14.4">
      <c r="A72" s="725"/>
      <c r="B72" s="722"/>
      <c r="C72" s="723"/>
      <c r="D72" s="723"/>
      <c r="E72" s="723"/>
      <c r="F72" s="724"/>
    </row>
    <row r="73" spans="1:6" ht="14.4">
      <c r="A73" s="725"/>
      <c r="B73" s="722"/>
      <c r="C73" s="723"/>
      <c r="D73" s="723"/>
      <c r="E73" s="723"/>
      <c r="F73" s="724"/>
    </row>
    <row r="74" spans="1:6" ht="14.4">
      <c r="A74" s="725"/>
      <c r="B74" s="722"/>
      <c r="C74" s="723"/>
      <c r="D74" s="723"/>
      <c r="E74" s="723"/>
      <c r="F74" s="724"/>
    </row>
    <row r="75" spans="1:6" ht="14.4">
      <c r="A75" s="725"/>
      <c r="B75" s="722"/>
      <c r="C75" s="723"/>
      <c r="D75" s="723"/>
      <c r="E75" s="723"/>
      <c r="F75" s="724"/>
    </row>
    <row r="76" spans="1:6" ht="14.4">
      <c r="A76" s="725"/>
      <c r="B76" s="722"/>
      <c r="C76" s="723"/>
      <c r="D76" s="723"/>
      <c r="E76" s="723"/>
      <c r="F76" s="724"/>
    </row>
  </sheetData>
  <pageMargins left="0.7" right="0.7" top="0.75" bottom="0.75" header="0.3" footer="0.3"/>
  <pageSetup scale="8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7"/>
  <sheetViews>
    <sheetView tabSelected="1" view="pageBreakPreview" zoomScaleNormal="100" zoomScaleSheetLayoutView="100" workbookViewId="0">
      <selection activeCell="D36" sqref="D36"/>
    </sheetView>
  </sheetViews>
  <sheetFormatPr defaultColWidth="9.109375" defaultRowHeight="14.25" customHeight="1"/>
  <cols>
    <col min="1" max="1" width="9.109375" style="110" bestFit="1" customWidth="1"/>
    <col min="2" max="2" width="72.33203125" style="92" customWidth="1"/>
    <col min="3" max="3" width="17.33203125" style="111" customWidth="1"/>
    <col min="4" max="4" width="21.88671875" style="112" customWidth="1"/>
    <col min="5" max="5" width="17.33203125" style="504" bestFit="1" customWidth="1"/>
    <col min="6" max="6" width="15.88671875" style="90" bestFit="1" customWidth="1"/>
    <col min="7" max="245" width="9.109375" style="32"/>
    <col min="246" max="246" width="9.5546875" style="32" customWidth="1"/>
    <col min="247" max="247" width="71.109375" style="32" customWidth="1"/>
    <col min="248" max="248" width="16.33203125" style="32" customWidth="1"/>
    <col min="249" max="249" width="21.88671875" style="32" customWidth="1"/>
    <col min="250" max="250" width="4.109375" style="32" customWidth="1"/>
    <col min="251" max="501" width="9.109375" style="32"/>
    <col min="502" max="502" width="9.5546875" style="32" customWidth="1"/>
    <col min="503" max="503" width="71.109375" style="32" customWidth="1"/>
    <col min="504" max="504" width="16.33203125" style="32" customWidth="1"/>
    <col min="505" max="505" width="21.88671875" style="32" customWidth="1"/>
    <col min="506" max="506" width="4.109375" style="32" customWidth="1"/>
    <col min="507" max="757" width="9.109375" style="32"/>
    <col min="758" max="758" width="9.5546875" style="32" customWidth="1"/>
    <col min="759" max="759" width="71.109375" style="32" customWidth="1"/>
    <col min="760" max="760" width="16.33203125" style="32" customWidth="1"/>
    <col min="761" max="761" width="21.88671875" style="32" customWidth="1"/>
    <col min="762" max="762" width="4.109375" style="32" customWidth="1"/>
    <col min="763" max="1013" width="9.109375" style="32"/>
    <col min="1014" max="1014" width="9.5546875" style="32" customWidth="1"/>
    <col min="1015" max="1015" width="71.109375" style="32" customWidth="1"/>
    <col min="1016" max="1016" width="16.33203125" style="32" customWidth="1"/>
    <col min="1017" max="1017" width="21.88671875" style="32" customWidth="1"/>
    <col min="1018" max="1018" width="4.109375" style="32" customWidth="1"/>
    <col min="1019" max="1269" width="9.109375" style="32"/>
    <col min="1270" max="1270" width="9.5546875" style="32" customWidth="1"/>
    <col min="1271" max="1271" width="71.109375" style="32" customWidth="1"/>
    <col min="1272" max="1272" width="16.33203125" style="32" customWidth="1"/>
    <col min="1273" max="1273" width="21.88671875" style="32" customWidth="1"/>
    <col min="1274" max="1274" width="4.109375" style="32" customWidth="1"/>
    <col min="1275" max="1525" width="9.109375" style="32"/>
    <col min="1526" max="1526" width="9.5546875" style="32" customWidth="1"/>
    <col min="1527" max="1527" width="71.109375" style="32" customWidth="1"/>
    <col min="1528" max="1528" width="16.33203125" style="32" customWidth="1"/>
    <col min="1529" max="1529" width="21.88671875" style="32" customWidth="1"/>
    <col min="1530" max="1530" width="4.109375" style="32" customWidth="1"/>
    <col min="1531" max="1781" width="9.109375" style="32"/>
    <col min="1782" max="1782" width="9.5546875" style="32" customWidth="1"/>
    <col min="1783" max="1783" width="71.109375" style="32" customWidth="1"/>
    <col min="1784" max="1784" width="16.33203125" style="32" customWidth="1"/>
    <col min="1785" max="1785" width="21.88671875" style="32" customWidth="1"/>
    <col min="1786" max="1786" width="4.109375" style="32" customWidth="1"/>
    <col min="1787" max="2037" width="9.109375" style="32"/>
    <col min="2038" max="2038" width="9.5546875" style="32" customWidth="1"/>
    <col min="2039" max="2039" width="71.109375" style="32" customWidth="1"/>
    <col min="2040" max="2040" width="16.33203125" style="32" customWidth="1"/>
    <col min="2041" max="2041" width="21.88671875" style="32" customWidth="1"/>
    <col min="2042" max="2042" width="4.109375" style="32" customWidth="1"/>
    <col min="2043" max="2293" width="9.109375" style="32"/>
    <col min="2294" max="2294" width="9.5546875" style="32" customWidth="1"/>
    <col min="2295" max="2295" width="71.109375" style="32" customWidth="1"/>
    <col min="2296" max="2296" width="16.33203125" style="32" customWidth="1"/>
    <col min="2297" max="2297" width="21.88671875" style="32" customWidth="1"/>
    <col min="2298" max="2298" width="4.109375" style="32" customWidth="1"/>
    <col min="2299" max="2549" width="9.109375" style="32"/>
    <col min="2550" max="2550" width="9.5546875" style="32" customWidth="1"/>
    <col min="2551" max="2551" width="71.109375" style="32" customWidth="1"/>
    <col min="2552" max="2552" width="16.33203125" style="32" customWidth="1"/>
    <col min="2553" max="2553" width="21.88671875" style="32" customWidth="1"/>
    <col min="2554" max="2554" width="4.109375" style="32" customWidth="1"/>
    <col min="2555" max="2805" width="9.109375" style="32"/>
    <col min="2806" max="2806" width="9.5546875" style="32" customWidth="1"/>
    <col min="2807" max="2807" width="71.109375" style="32" customWidth="1"/>
    <col min="2808" max="2808" width="16.33203125" style="32" customWidth="1"/>
    <col min="2809" max="2809" width="21.88671875" style="32" customWidth="1"/>
    <col min="2810" max="2810" width="4.109375" style="32" customWidth="1"/>
    <col min="2811" max="3061" width="9.109375" style="32"/>
    <col min="3062" max="3062" width="9.5546875" style="32" customWidth="1"/>
    <col min="3063" max="3063" width="71.109375" style="32" customWidth="1"/>
    <col min="3064" max="3064" width="16.33203125" style="32" customWidth="1"/>
    <col min="3065" max="3065" width="21.88671875" style="32" customWidth="1"/>
    <col min="3066" max="3066" width="4.109375" style="32" customWidth="1"/>
    <col min="3067" max="3317" width="9.109375" style="32"/>
    <col min="3318" max="3318" width="9.5546875" style="32" customWidth="1"/>
    <col min="3319" max="3319" width="71.109375" style="32" customWidth="1"/>
    <col min="3320" max="3320" width="16.33203125" style="32" customWidth="1"/>
    <col min="3321" max="3321" width="21.88671875" style="32" customWidth="1"/>
    <col min="3322" max="3322" width="4.109375" style="32" customWidth="1"/>
    <col min="3323" max="3573" width="9.109375" style="32"/>
    <col min="3574" max="3574" width="9.5546875" style="32" customWidth="1"/>
    <col min="3575" max="3575" width="71.109375" style="32" customWidth="1"/>
    <col min="3576" max="3576" width="16.33203125" style="32" customWidth="1"/>
    <col min="3577" max="3577" width="21.88671875" style="32" customWidth="1"/>
    <col min="3578" max="3578" width="4.109375" style="32" customWidth="1"/>
    <col min="3579" max="3829" width="9.109375" style="32"/>
    <col min="3830" max="3830" width="9.5546875" style="32" customWidth="1"/>
    <col min="3831" max="3831" width="71.109375" style="32" customWidth="1"/>
    <col min="3832" max="3832" width="16.33203125" style="32" customWidth="1"/>
    <col min="3833" max="3833" width="21.88671875" style="32" customWidth="1"/>
    <col min="3834" max="3834" width="4.109375" style="32" customWidth="1"/>
    <col min="3835" max="4085" width="9.109375" style="32"/>
    <col min="4086" max="4086" width="9.5546875" style="32" customWidth="1"/>
    <col min="4087" max="4087" width="71.109375" style="32" customWidth="1"/>
    <col min="4088" max="4088" width="16.33203125" style="32" customWidth="1"/>
    <col min="4089" max="4089" width="21.88671875" style="32" customWidth="1"/>
    <col min="4090" max="4090" width="4.109375" style="32" customWidth="1"/>
    <col min="4091" max="4341" width="9.109375" style="32"/>
    <col min="4342" max="4342" width="9.5546875" style="32" customWidth="1"/>
    <col min="4343" max="4343" width="71.109375" style="32" customWidth="1"/>
    <col min="4344" max="4344" width="16.33203125" style="32" customWidth="1"/>
    <col min="4345" max="4345" width="21.88671875" style="32" customWidth="1"/>
    <col min="4346" max="4346" width="4.109375" style="32" customWidth="1"/>
    <col min="4347" max="4597" width="9.109375" style="32"/>
    <col min="4598" max="4598" width="9.5546875" style="32" customWidth="1"/>
    <col min="4599" max="4599" width="71.109375" style="32" customWidth="1"/>
    <col min="4600" max="4600" width="16.33203125" style="32" customWidth="1"/>
    <col min="4601" max="4601" width="21.88671875" style="32" customWidth="1"/>
    <col min="4602" max="4602" width="4.109375" style="32" customWidth="1"/>
    <col min="4603" max="4853" width="9.109375" style="32"/>
    <col min="4854" max="4854" width="9.5546875" style="32" customWidth="1"/>
    <col min="4855" max="4855" width="71.109375" style="32" customWidth="1"/>
    <col min="4856" max="4856" width="16.33203125" style="32" customWidth="1"/>
    <col min="4857" max="4857" width="21.88671875" style="32" customWidth="1"/>
    <col min="4858" max="4858" width="4.109375" style="32" customWidth="1"/>
    <col min="4859" max="5109" width="9.109375" style="32"/>
    <col min="5110" max="5110" width="9.5546875" style="32" customWidth="1"/>
    <col min="5111" max="5111" width="71.109375" style="32" customWidth="1"/>
    <col min="5112" max="5112" width="16.33203125" style="32" customWidth="1"/>
    <col min="5113" max="5113" width="21.88671875" style="32" customWidth="1"/>
    <col min="5114" max="5114" width="4.109375" style="32" customWidth="1"/>
    <col min="5115" max="5365" width="9.109375" style="32"/>
    <col min="5366" max="5366" width="9.5546875" style="32" customWidth="1"/>
    <col min="5367" max="5367" width="71.109375" style="32" customWidth="1"/>
    <col min="5368" max="5368" width="16.33203125" style="32" customWidth="1"/>
    <col min="5369" max="5369" width="21.88671875" style="32" customWidth="1"/>
    <col min="5370" max="5370" width="4.109375" style="32" customWidth="1"/>
    <col min="5371" max="5621" width="9.109375" style="32"/>
    <col min="5622" max="5622" width="9.5546875" style="32" customWidth="1"/>
    <col min="5623" max="5623" width="71.109375" style="32" customWidth="1"/>
    <col min="5624" max="5624" width="16.33203125" style="32" customWidth="1"/>
    <col min="5625" max="5625" width="21.88671875" style="32" customWidth="1"/>
    <col min="5626" max="5626" width="4.109375" style="32" customWidth="1"/>
    <col min="5627" max="5877" width="9.109375" style="32"/>
    <col min="5878" max="5878" width="9.5546875" style="32" customWidth="1"/>
    <col min="5879" max="5879" width="71.109375" style="32" customWidth="1"/>
    <col min="5880" max="5880" width="16.33203125" style="32" customWidth="1"/>
    <col min="5881" max="5881" width="21.88671875" style="32" customWidth="1"/>
    <col min="5882" max="5882" width="4.109375" style="32" customWidth="1"/>
    <col min="5883" max="6133" width="9.109375" style="32"/>
    <col min="6134" max="6134" width="9.5546875" style="32" customWidth="1"/>
    <col min="6135" max="6135" width="71.109375" style="32" customWidth="1"/>
    <col min="6136" max="6136" width="16.33203125" style="32" customWidth="1"/>
    <col min="6137" max="6137" width="21.88671875" style="32" customWidth="1"/>
    <col min="6138" max="6138" width="4.109375" style="32" customWidth="1"/>
    <col min="6139" max="6389" width="9.109375" style="32"/>
    <col min="6390" max="6390" width="9.5546875" style="32" customWidth="1"/>
    <col min="6391" max="6391" width="71.109375" style="32" customWidth="1"/>
    <col min="6392" max="6392" width="16.33203125" style="32" customWidth="1"/>
    <col min="6393" max="6393" width="21.88671875" style="32" customWidth="1"/>
    <col min="6394" max="6394" width="4.109375" style="32" customWidth="1"/>
    <col min="6395" max="6645" width="9.109375" style="32"/>
    <col min="6646" max="6646" width="9.5546875" style="32" customWidth="1"/>
    <col min="6647" max="6647" width="71.109375" style="32" customWidth="1"/>
    <col min="6648" max="6648" width="16.33203125" style="32" customWidth="1"/>
    <col min="6649" max="6649" width="21.88671875" style="32" customWidth="1"/>
    <col min="6650" max="6650" width="4.109375" style="32" customWidth="1"/>
    <col min="6651" max="6901" width="9.109375" style="32"/>
    <col min="6902" max="6902" width="9.5546875" style="32" customWidth="1"/>
    <col min="6903" max="6903" width="71.109375" style="32" customWidth="1"/>
    <col min="6904" max="6904" width="16.33203125" style="32" customWidth="1"/>
    <col min="6905" max="6905" width="21.88671875" style="32" customWidth="1"/>
    <col min="6906" max="6906" width="4.109375" style="32" customWidth="1"/>
    <col min="6907" max="7157" width="9.109375" style="32"/>
    <col min="7158" max="7158" width="9.5546875" style="32" customWidth="1"/>
    <col min="7159" max="7159" width="71.109375" style="32" customWidth="1"/>
    <col min="7160" max="7160" width="16.33203125" style="32" customWidth="1"/>
    <col min="7161" max="7161" width="21.88671875" style="32" customWidth="1"/>
    <col min="7162" max="7162" width="4.109375" style="32" customWidth="1"/>
    <col min="7163" max="7413" width="9.109375" style="32"/>
    <col min="7414" max="7414" width="9.5546875" style="32" customWidth="1"/>
    <col min="7415" max="7415" width="71.109375" style="32" customWidth="1"/>
    <col min="7416" max="7416" width="16.33203125" style="32" customWidth="1"/>
    <col min="7417" max="7417" width="21.88671875" style="32" customWidth="1"/>
    <col min="7418" max="7418" width="4.109375" style="32" customWidth="1"/>
    <col min="7419" max="7669" width="9.109375" style="32"/>
    <col min="7670" max="7670" width="9.5546875" style="32" customWidth="1"/>
    <col min="7671" max="7671" width="71.109375" style="32" customWidth="1"/>
    <col min="7672" max="7672" width="16.33203125" style="32" customWidth="1"/>
    <col min="7673" max="7673" width="21.88671875" style="32" customWidth="1"/>
    <col min="7674" max="7674" width="4.109375" style="32" customWidth="1"/>
    <col min="7675" max="7925" width="9.109375" style="32"/>
    <col min="7926" max="7926" width="9.5546875" style="32" customWidth="1"/>
    <col min="7927" max="7927" width="71.109375" style="32" customWidth="1"/>
    <col min="7928" max="7928" width="16.33203125" style="32" customWidth="1"/>
    <col min="7929" max="7929" width="21.88671875" style="32" customWidth="1"/>
    <col min="7930" max="7930" width="4.109375" style="32" customWidth="1"/>
    <col min="7931" max="8181" width="9.109375" style="32"/>
    <col min="8182" max="8182" width="9.5546875" style="32" customWidth="1"/>
    <col min="8183" max="8183" width="71.109375" style="32" customWidth="1"/>
    <col min="8184" max="8184" width="16.33203125" style="32" customWidth="1"/>
    <col min="8185" max="8185" width="21.88671875" style="32" customWidth="1"/>
    <col min="8186" max="8186" width="4.109375" style="32" customWidth="1"/>
    <col min="8187" max="8437" width="9.109375" style="32"/>
    <col min="8438" max="8438" width="9.5546875" style="32" customWidth="1"/>
    <col min="8439" max="8439" width="71.109375" style="32" customWidth="1"/>
    <col min="8440" max="8440" width="16.33203125" style="32" customWidth="1"/>
    <col min="8441" max="8441" width="21.88671875" style="32" customWidth="1"/>
    <col min="8442" max="8442" width="4.109375" style="32" customWidth="1"/>
    <col min="8443" max="8693" width="9.109375" style="32"/>
    <col min="8694" max="8694" width="9.5546875" style="32" customWidth="1"/>
    <col min="8695" max="8695" width="71.109375" style="32" customWidth="1"/>
    <col min="8696" max="8696" width="16.33203125" style="32" customWidth="1"/>
    <col min="8697" max="8697" width="21.88671875" style="32" customWidth="1"/>
    <col min="8698" max="8698" width="4.109375" style="32" customWidth="1"/>
    <col min="8699" max="8949" width="9.109375" style="32"/>
    <col min="8950" max="8950" width="9.5546875" style="32" customWidth="1"/>
    <col min="8951" max="8951" width="71.109375" style="32" customWidth="1"/>
    <col min="8952" max="8952" width="16.33203125" style="32" customWidth="1"/>
    <col min="8953" max="8953" width="21.88671875" style="32" customWidth="1"/>
    <col min="8954" max="8954" width="4.109375" style="32" customWidth="1"/>
    <col min="8955" max="9205" width="9.109375" style="32"/>
    <col min="9206" max="9206" width="9.5546875" style="32" customWidth="1"/>
    <col min="9207" max="9207" width="71.109375" style="32" customWidth="1"/>
    <col min="9208" max="9208" width="16.33203125" style="32" customWidth="1"/>
    <col min="9209" max="9209" width="21.88671875" style="32" customWidth="1"/>
    <col min="9210" max="9210" width="4.109375" style="32" customWidth="1"/>
    <col min="9211" max="9461" width="9.109375" style="32"/>
    <col min="9462" max="9462" width="9.5546875" style="32" customWidth="1"/>
    <col min="9463" max="9463" width="71.109375" style="32" customWidth="1"/>
    <col min="9464" max="9464" width="16.33203125" style="32" customWidth="1"/>
    <col min="9465" max="9465" width="21.88671875" style="32" customWidth="1"/>
    <col min="9466" max="9466" width="4.109375" style="32" customWidth="1"/>
    <col min="9467" max="9717" width="9.109375" style="32"/>
    <col min="9718" max="9718" width="9.5546875" style="32" customWidth="1"/>
    <col min="9719" max="9719" width="71.109375" style="32" customWidth="1"/>
    <col min="9720" max="9720" width="16.33203125" style="32" customWidth="1"/>
    <col min="9721" max="9721" width="21.88671875" style="32" customWidth="1"/>
    <col min="9722" max="9722" width="4.109375" style="32" customWidth="1"/>
    <col min="9723" max="9973" width="9.109375" style="32"/>
    <col min="9974" max="9974" width="9.5546875" style="32" customWidth="1"/>
    <col min="9975" max="9975" width="71.109375" style="32" customWidth="1"/>
    <col min="9976" max="9976" width="16.33203125" style="32" customWidth="1"/>
    <col min="9977" max="9977" width="21.88671875" style="32" customWidth="1"/>
    <col min="9978" max="9978" width="4.109375" style="32" customWidth="1"/>
    <col min="9979" max="10229" width="9.109375" style="32"/>
    <col min="10230" max="10230" width="9.5546875" style="32" customWidth="1"/>
    <col min="10231" max="10231" width="71.109375" style="32" customWidth="1"/>
    <col min="10232" max="10232" width="16.33203125" style="32" customWidth="1"/>
    <col min="10233" max="10233" width="21.88671875" style="32" customWidth="1"/>
    <col min="10234" max="10234" width="4.109375" style="32" customWidth="1"/>
    <col min="10235" max="10485" width="9.109375" style="32"/>
    <col min="10486" max="10486" width="9.5546875" style="32" customWidth="1"/>
    <col min="10487" max="10487" width="71.109375" style="32" customWidth="1"/>
    <col min="10488" max="10488" width="16.33203125" style="32" customWidth="1"/>
    <col min="10489" max="10489" width="21.88671875" style="32" customWidth="1"/>
    <col min="10490" max="10490" width="4.109375" style="32" customWidth="1"/>
    <col min="10491" max="10741" width="9.109375" style="32"/>
    <col min="10742" max="10742" width="9.5546875" style="32" customWidth="1"/>
    <col min="10743" max="10743" width="71.109375" style="32" customWidth="1"/>
    <col min="10744" max="10744" width="16.33203125" style="32" customWidth="1"/>
    <col min="10745" max="10745" width="21.88671875" style="32" customWidth="1"/>
    <col min="10746" max="10746" width="4.109375" style="32" customWidth="1"/>
    <col min="10747" max="10997" width="9.109375" style="32"/>
    <col min="10998" max="10998" width="9.5546875" style="32" customWidth="1"/>
    <col min="10999" max="10999" width="71.109375" style="32" customWidth="1"/>
    <col min="11000" max="11000" width="16.33203125" style="32" customWidth="1"/>
    <col min="11001" max="11001" width="21.88671875" style="32" customWidth="1"/>
    <col min="11002" max="11002" width="4.109375" style="32" customWidth="1"/>
    <col min="11003" max="11253" width="9.109375" style="32"/>
    <col min="11254" max="11254" width="9.5546875" style="32" customWidth="1"/>
    <col min="11255" max="11255" width="71.109375" style="32" customWidth="1"/>
    <col min="11256" max="11256" width="16.33203125" style="32" customWidth="1"/>
    <col min="11257" max="11257" width="21.88671875" style="32" customWidth="1"/>
    <col min="11258" max="11258" width="4.109375" style="32" customWidth="1"/>
    <col min="11259" max="11509" width="9.109375" style="32"/>
    <col min="11510" max="11510" width="9.5546875" style="32" customWidth="1"/>
    <col min="11511" max="11511" width="71.109375" style="32" customWidth="1"/>
    <col min="11512" max="11512" width="16.33203125" style="32" customWidth="1"/>
    <col min="11513" max="11513" width="21.88671875" style="32" customWidth="1"/>
    <col min="11514" max="11514" width="4.109375" style="32" customWidth="1"/>
    <col min="11515" max="11765" width="9.109375" style="32"/>
    <col min="11766" max="11766" width="9.5546875" style="32" customWidth="1"/>
    <col min="11767" max="11767" width="71.109375" style="32" customWidth="1"/>
    <col min="11768" max="11768" width="16.33203125" style="32" customWidth="1"/>
    <col min="11769" max="11769" width="21.88671875" style="32" customWidth="1"/>
    <col min="11770" max="11770" width="4.109375" style="32" customWidth="1"/>
    <col min="11771" max="12021" width="9.109375" style="32"/>
    <col min="12022" max="12022" width="9.5546875" style="32" customWidth="1"/>
    <col min="12023" max="12023" width="71.109375" style="32" customWidth="1"/>
    <col min="12024" max="12024" width="16.33203125" style="32" customWidth="1"/>
    <col min="12025" max="12025" width="21.88671875" style="32" customWidth="1"/>
    <col min="12026" max="12026" width="4.109375" style="32" customWidth="1"/>
    <col min="12027" max="12277" width="9.109375" style="32"/>
    <col min="12278" max="12278" width="9.5546875" style="32" customWidth="1"/>
    <col min="12279" max="12279" width="71.109375" style="32" customWidth="1"/>
    <col min="12280" max="12280" width="16.33203125" style="32" customWidth="1"/>
    <col min="12281" max="12281" width="21.88671875" style="32" customWidth="1"/>
    <col min="12282" max="12282" width="4.109375" style="32" customWidth="1"/>
    <col min="12283" max="12533" width="9.109375" style="32"/>
    <col min="12534" max="12534" width="9.5546875" style="32" customWidth="1"/>
    <col min="12535" max="12535" width="71.109375" style="32" customWidth="1"/>
    <col min="12536" max="12536" width="16.33203125" style="32" customWidth="1"/>
    <col min="12537" max="12537" width="21.88671875" style="32" customWidth="1"/>
    <col min="12538" max="12538" width="4.109375" style="32" customWidth="1"/>
    <col min="12539" max="12789" width="9.109375" style="32"/>
    <col min="12790" max="12790" width="9.5546875" style="32" customWidth="1"/>
    <col min="12791" max="12791" width="71.109375" style="32" customWidth="1"/>
    <col min="12792" max="12792" width="16.33203125" style="32" customWidth="1"/>
    <col min="12793" max="12793" width="21.88671875" style="32" customWidth="1"/>
    <col min="12794" max="12794" width="4.109375" style="32" customWidth="1"/>
    <col min="12795" max="13045" width="9.109375" style="32"/>
    <col min="13046" max="13046" width="9.5546875" style="32" customWidth="1"/>
    <col min="13047" max="13047" width="71.109375" style="32" customWidth="1"/>
    <col min="13048" max="13048" width="16.33203125" style="32" customWidth="1"/>
    <col min="13049" max="13049" width="21.88671875" style="32" customWidth="1"/>
    <col min="13050" max="13050" width="4.109375" style="32" customWidth="1"/>
    <col min="13051" max="13301" width="9.109375" style="32"/>
    <col min="13302" max="13302" width="9.5546875" style="32" customWidth="1"/>
    <col min="13303" max="13303" width="71.109375" style="32" customWidth="1"/>
    <col min="13304" max="13304" width="16.33203125" style="32" customWidth="1"/>
    <col min="13305" max="13305" width="21.88671875" style="32" customWidth="1"/>
    <col min="13306" max="13306" width="4.109375" style="32" customWidth="1"/>
    <col min="13307" max="13557" width="9.109375" style="32"/>
    <col min="13558" max="13558" width="9.5546875" style="32" customWidth="1"/>
    <col min="13559" max="13559" width="71.109375" style="32" customWidth="1"/>
    <col min="13560" max="13560" width="16.33203125" style="32" customWidth="1"/>
    <col min="13561" max="13561" width="21.88671875" style="32" customWidth="1"/>
    <col min="13562" max="13562" width="4.109375" style="32" customWidth="1"/>
    <col min="13563" max="13813" width="9.109375" style="32"/>
    <col min="13814" max="13814" width="9.5546875" style="32" customWidth="1"/>
    <col min="13815" max="13815" width="71.109375" style="32" customWidth="1"/>
    <col min="13816" max="13816" width="16.33203125" style="32" customWidth="1"/>
    <col min="13817" max="13817" width="21.88671875" style="32" customWidth="1"/>
    <col min="13818" max="13818" width="4.109375" style="32" customWidth="1"/>
    <col min="13819" max="14069" width="9.109375" style="32"/>
    <col min="14070" max="14070" width="9.5546875" style="32" customWidth="1"/>
    <col min="14071" max="14071" width="71.109375" style="32" customWidth="1"/>
    <col min="14072" max="14072" width="16.33203125" style="32" customWidth="1"/>
    <col min="14073" max="14073" width="21.88671875" style="32" customWidth="1"/>
    <col min="14074" max="14074" width="4.109375" style="32" customWidth="1"/>
    <col min="14075" max="14325" width="9.109375" style="32"/>
    <col min="14326" max="14326" width="9.5546875" style="32" customWidth="1"/>
    <col min="14327" max="14327" width="71.109375" style="32" customWidth="1"/>
    <col min="14328" max="14328" width="16.33203125" style="32" customWidth="1"/>
    <col min="14329" max="14329" width="21.88671875" style="32" customWidth="1"/>
    <col min="14330" max="14330" width="4.109375" style="32" customWidth="1"/>
    <col min="14331" max="14581" width="9.109375" style="32"/>
    <col min="14582" max="14582" width="9.5546875" style="32" customWidth="1"/>
    <col min="14583" max="14583" width="71.109375" style="32" customWidth="1"/>
    <col min="14584" max="14584" width="16.33203125" style="32" customWidth="1"/>
    <col min="14585" max="14585" width="21.88671875" style="32" customWidth="1"/>
    <col min="14586" max="14586" width="4.109375" style="32" customWidth="1"/>
    <col min="14587" max="14837" width="9.109375" style="32"/>
    <col min="14838" max="14838" width="9.5546875" style="32" customWidth="1"/>
    <col min="14839" max="14839" width="71.109375" style="32" customWidth="1"/>
    <col min="14840" max="14840" width="16.33203125" style="32" customWidth="1"/>
    <col min="14841" max="14841" width="21.88671875" style="32" customWidth="1"/>
    <col min="14842" max="14842" width="4.109375" style="32" customWidth="1"/>
    <col min="14843" max="15093" width="9.109375" style="32"/>
    <col min="15094" max="15094" width="9.5546875" style="32" customWidth="1"/>
    <col min="15095" max="15095" width="71.109375" style="32" customWidth="1"/>
    <col min="15096" max="15096" width="16.33203125" style="32" customWidth="1"/>
    <col min="15097" max="15097" width="21.88671875" style="32" customWidth="1"/>
    <col min="15098" max="15098" width="4.109375" style="32" customWidth="1"/>
    <col min="15099" max="15349" width="9.109375" style="32"/>
    <col min="15350" max="15350" width="9.5546875" style="32" customWidth="1"/>
    <col min="15351" max="15351" width="71.109375" style="32" customWidth="1"/>
    <col min="15352" max="15352" width="16.33203125" style="32" customWidth="1"/>
    <col min="15353" max="15353" width="21.88671875" style="32" customWidth="1"/>
    <col min="15354" max="15354" width="4.109375" style="32" customWidth="1"/>
    <col min="15355" max="15605" width="9.109375" style="32"/>
    <col min="15606" max="15606" width="9.5546875" style="32" customWidth="1"/>
    <col min="15607" max="15607" width="71.109375" style="32" customWidth="1"/>
    <col min="15608" max="15608" width="16.33203125" style="32" customWidth="1"/>
    <col min="15609" max="15609" width="21.88671875" style="32" customWidth="1"/>
    <col min="15610" max="15610" width="4.109375" style="32" customWidth="1"/>
    <col min="15611" max="15861" width="9.109375" style="32"/>
    <col min="15862" max="15862" width="9.5546875" style="32" customWidth="1"/>
    <col min="15863" max="15863" width="71.109375" style="32" customWidth="1"/>
    <col min="15864" max="15864" width="16.33203125" style="32" customWidth="1"/>
    <col min="15865" max="15865" width="21.88671875" style="32" customWidth="1"/>
    <col min="15866" max="15866" width="4.109375" style="32" customWidth="1"/>
    <col min="15867" max="16117" width="9.109375" style="32"/>
    <col min="16118" max="16118" width="9.5546875" style="32" customWidth="1"/>
    <col min="16119" max="16119" width="71.109375" style="32" customWidth="1"/>
    <col min="16120" max="16120" width="16.33203125" style="32" customWidth="1"/>
    <col min="16121" max="16121" width="21.88671875" style="32" customWidth="1"/>
    <col min="16122" max="16122" width="4.109375" style="32" customWidth="1"/>
    <col min="16123" max="16384" width="9.109375" style="32"/>
  </cols>
  <sheetData>
    <row r="1" spans="1:6" s="49" customFormat="1" ht="14.4">
      <c r="A1" s="79" t="s">
        <v>12</v>
      </c>
      <c r="B1" s="80" t="s">
        <v>13</v>
      </c>
      <c r="C1" s="80" t="s">
        <v>1</v>
      </c>
      <c r="D1" s="81"/>
      <c r="F1" s="82"/>
    </row>
    <row r="2" spans="1:6" s="19" customFormat="1" ht="15" customHeight="1">
      <c r="A2" s="83"/>
      <c r="B2" s="37" t="s">
        <v>416</v>
      </c>
      <c r="C2" s="84"/>
      <c r="D2" s="85"/>
      <c r="F2" s="86"/>
    </row>
    <row r="3" spans="1:6" ht="14.25" customHeight="1">
      <c r="A3" s="87"/>
      <c r="B3" s="50"/>
      <c r="C3" s="88"/>
      <c r="D3" s="89"/>
    </row>
    <row r="4" spans="1:6" ht="14.25" customHeight="1">
      <c r="A4" s="87"/>
      <c r="B4" s="91" t="s">
        <v>261</v>
      </c>
      <c r="C4" s="88"/>
      <c r="D4" s="89"/>
    </row>
    <row r="5" spans="1:6" ht="14.25" customHeight="1">
      <c r="A5" s="87"/>
      <c r="C5" s="93"/>
      <c r="D5" s="89"/>
    </row>
    <row r="6" spans="1:6" ht="14.25" customHeight="1">
      <c r="A6" s="87"/>
      <c r="B6" s="94"/>
      <c r="C6" s="88"/>
      <c r="D6" s="89"/>
    </row>
    <row r="7" spans="1:6" ht="14.25" customHeight="1">
      <c r="A7" s="87">
        <v>1</v>
      </c>
      <c r="B7" s="94" t="s">
        <v>291</v>
      </c>
      <c r="C7" s="95"/>
      <c r="D7" s="89"/>
    </row>
    <row r="8" spans="1:6" ht="14.25" customHeight="1">
      <c r="A8" s="87"/>
      <c r="B8" s="98"/>
      <c r="C8" s="95"/>
      <c r="D8" s="89"/>
    </row>
    <row r="9" spans="1:6" ht="14.25" customHeight="1">
      <c r="A9" s="87">
        <v>2</v>
      </c>
      <c r="B9" s="98" t="str">
        <f>'2 Office Block'!B3</f>
        <v xml:space="preserve">SECTION 2: RENOVATION OF EXISTING OFFICES </v>
      </c>
      <c r="C9" s="95"/>
      <c r="D9" s="89"/>
      <c r="E9" s="1229"/>
    </row>
    <row r="10" spans="1:6" ht="14.25" customHeight="1">
      <c r="A10" s="87"/>
      <c r="B10" s="98"/>
      <c r="C10" s="95"/>
      <c r="D10" s="89"/>
    </row>
    <row r="11" spans="1:6" ht="14.25" customHeight="1">
      <c r="A11" s="87">
        <v>3</v>
      </c>
      <c r="B11" s="98" t="str">
        <f>'3 New Calssrooms'!B3</f>
        <v>SECTION 3: NEW CLASSROOMS</v>
      </c>
      <c r="C11" s="95"/>
      <c r="D11" s="89"/>
      <c r="E11" s="1229"/>
    </row>
    <row r="12" spans="1:6" ht="14.25" customHeight="1">
      <c r="A12" s="87"/>
      <c r="B12" s="94"/>
      <c r="C12" s="96"/>
      <c r="D12" s="89"/>
    </row>
    <row r="13" spans="1:6" ht="14.25" customHeight="1">
      <c r="A13" s="87">
        <v>4</v>
      </c>
      <c r="B13" s="98" t="str">
        <f>'4 Metting Hall Partitioning '!B3</f>
        <v>SECTION 4: MEETING HALL PARTITIONING TO OFFICES</v>
      </c>
      <c r="C13" s="95"/>
      <c r="D13" s="89"/>
      <c r="E13" s="1229"/>
    </row>
    <row r="14" spans="1:6" ht="14.25" customHeight="1">
      <c r="A14" s="87"/>
      <c r="B14" s="94"/>
      <c r="C14" s="96"/>
      <c r="D14" s="89"/>
    </row>
    <row r="15" spans="1:6" ht="14.25" customHeight="1">
      <c r="A15" s="87">
        <v>5</v>
      </c>
      <c r="B15" s="98" t="str">
        <f>'5 Prayer Room'!B3</f>
        <v>SECTION 5: PRAYER ROOM</v>
      </c>
      <c r="C15" s="95"/>
      <c r="D15" s="89"/>
      <c r="E15" s="1229"/>
    </row>
    <row r="16" spans="1:6" ht="14.25" customHeight="1">
      <c r="A16" s="87"/>
      <c r="B16" s="94"/>
      <c r="C16" s="96"/>
      <c r="D16" s="89"/>
    </row>
    <row r="17" spans="1:6" ht="14.25" customHeight="1">
      <c r="A17" s="87">
        <v>6</v>
      </c>
      <c r="B17" s="94" t="str">
        <f>'6 General Store'!B3</f>
        <v>SECTION 6: GENERAL STORE</v>
      </c>
      <c r="C17" s="99"/>
      <c r="D17" s="89"/>
      <c r="E17" s="1229"/>
    </row>
    <row r="18" spans="1:6" ht="14.25" customHeight="1">
      <c r="A18" s="87"/>
      <c r="B18" s="94"/>
      <c r="C18" s="88"/>
      <c r="D18" s="89"/>
    </row>
    <row r="19" spans="1:6" ht="14.25" customHeight="1">
      <c r="A19" s="87">
        <v>7</v>
      </c>
      <c r="B19" s="94" t="str">
        <f>'7 Clinic'!B3</f>
        <v>SECTION 7: CLINIC</v>
      </c>
      <c r="C19" s="88"/>
      <c r="D19" s="89"/>
      <c r="E19" s="1229"/>
    </row>
    <row r="20" spans="1:6" ht="14.25" customHeight="1">
      <c r="A20" s="87"/>
      <c r="B20" s="91"/>
      <c r="C20" s="88"/>
      <c r="D20" s="89"/>
    </row>
    <row r="21" spans="1:6" s="94" customFormat="1" ht="14.25" customHeight="1">
      <c r="A21" s="87">
        <v>8</v>
      </c>
      <c r="B21" s="94" t="str">
        <f>'8 Kitchen and Dining'!B3</f>
        <v>SECTION 8:KITCHEN AND DINING</v>
      </c>
      <c r="D21" s="100"/>
      <c r="E21" s="100"/>
      <c r="F21" s="101"/>
    </row>
    <row r="22" spans="1:6" ht="14.25" customHeight="1">
      <c r="A22" s="87"/>
      <c r="B22" s="94"/>
      <c r="C22" s="88"/>
      <c r="D22" s="89"/>
    </row>
    <row r="23" spans="1:6" ht="14.25" customHeight="1">
      <c r="A23" s="87">
        <v>9</v>
      </c>
      <c r="B23" s="94" t="str">
        <f>'9 Accommodattion Block'!B3</f>
        <v>SECTION 9: ACCOMMODATION BLOCK</v>
      </c>
      <c r="C23" s="88"/>
      <c r="D23" s="89"/>
      <c r="E23" s="1229"/>
    </row>
    <row r="24" spans="1:6" ht="14.25" customHeight="1">
      <c r="A24" s="87"/>
      <c r="B24" s="94"/>
      <c r="C24" s="88"/>
      <c r="D24" s="89"/>
    </row>
    <row r="25" spans="1:6" ht="14.25" customHeight="1">
      <c r="A25" s="87">
        <v>10</v>
      </c>
      <c r="B25" s="94" t="str">
        <f>'10 Toilets'!B3</f>
        <v>SECTION 10: TOILETS BLOCK AND STAFF TOILETS</v>
      </c>
      <c r="C25" s="88"/>
      <c r="D25" s="89"/>
      <c r="E25" s="1229"/>
    </row>
    <row r="26" spans="1:6" s="504" customFormat="1" ht="14.25" customHeight="1">
      <c r="A26" s="505"/>
      <c r="B26" s="507"/>
      <c r="C26" s="506"/>
      <c r="D26" s="89"/>
      <c r="F26" s="90"/>
    </row>
    <row r="27" spans="1:6" ht="14.25" customHeight="1">
      <c r="A27" s="87">
        <v>11</v>
      </c>
      <c r="B27" s="94" t="str">
        <f>'11 Gate House '!B3</f>
        <v>SECTION 11: SECURITY HOUSE</v>
      </c>
      <c r="C27" s="88"/>
      <c r="D27" s="89"/>
      <c r="E27" s="1362"/>
    </row>
    <row r="28" spans="1:6" s="504" customFormat="1" ht="14.25" customHeight="1">
      <c r="A28" s="505"/>
      <c r="B28" s="507"/>
      <c r="C28" s="506"/>
      <c r="D28" s="89"/>
      <c r="E28" s="1362"/>
      <c r="F28" s="90"/>
    </row>
    <row r="29" spans="1:6" ht="14.25" customHeight="1">
      <c r="A29" s="87">
        <v>12</v>
      </c>
      <c r="B29" s="94" t="str">
        <f>'12 WATER TANK'!B5</f>
        <v>SECTION 12: WATER STORAGE TANKS</v>
      </c>
      <c r="C29" s="88"/>
      <c r="D29" s="89"/>
      <c r="E29" s="1362"/>
    </row>
    <row r="30" spans="1:6" s="504" customFormat="1" ht="14.25" customHeight="1">
      <c r="A30" s="505"/>
      <c r="B30" s="507"/>
      <c r="C30" s="506"/>
      <c r="D30" s="89"/>
      <c r="F30" s="90"/>
    </row>
    <row r="31" spans="1:6" s="504" customFormat="1" ht="14.25" customHeight="1">
      <c r="A31" s="505">
        <v>13</v>
      </c>
      <c r="B31" s="507" t="str">
        <f>'13 Security Fences'!B3</f>
        <v>SECTION 7: SECURITY FENCES AND GATES</v>
      </c>
      <c r="C31" s="506"/>
      <c r="D31" s="89"/>
      <c r="E31" s="1362"/>
      <c r="F31" s="90"/>
    </row>
    <row r="32" spans="1:6" s="504" customFormat="1" ht="14.25" customHeight="1">
      <c r="A32" s="505"/>
      <c r="B32" s="507"/>
      <c r="C32" s="506"/>
      <c r="D32" s="89"/>
      <c r="F32" s="90"/>
    </row>
    <row r="33" spans="1:6" s="504" customFormat="1" ht="14.25" customHeight="1">
      <c r="A33" s="505">
        <v>14</v>
      </c>
      <c r="B33" s="507" t="str">
        <f>'14 Guard Towers'!B4</f>
        <v>SECTION 14: WATCH TOWERS</v>
      </c>
      <c r="C33" s="506"/>
      <c r="D33" s="89"/>
      <c r="E33" s="1228"/>
      <c r="F33" s="90"/>
    </row>
    <row r="34" spans="1:6" s="504" customFormat="1" ht="14.25" customHeight="1">
      <c r="A34" s="505"/>
      <c r="B34" s="507"/>
      <c r="C34" s="506"/>
      <c r="D34" s="89"/>
      <c r="F34" s="90"/>
    </row>
    <row r="35" spans="1:6" s="504" customFormat="1" ht="14.25" customHeight="1">
      <c r="A35" s="505">
        <v>15</v>
      </c>
      <c r="B35" s="507" t="str">
        <f>'15 Street Lights'!B3</f>
        <v xml:space="preserve">SECTION 15: SOLAR STREETLIGHTS </v>
      </c>
      <c r="C35" s="506"/>
      <c r="D35" s="89"/>
      <c r="E35" s="1229"/>
      <c r="F35" s="90"/>
    </row>
    <row r="36" spans="1:6" s="504" customFormat="1" ht="14.25" customHeight="1">
      <c r="A36" s="505"/>
      <c r="B36" s="507"/>
      <c r="C36" s="506"/>
      <c r="D36" s="89"/>
      <c r="F36" s="90"/>
    </row>
    <row r="37" spans="1:6" s="504" customFormat="1" ht="14.25" customHeight="1">
      <c r="A37" s="505">
        <v>16</v>
      </c>
      <c r="B37" s="507" t="str">
        <f>'16 Septic Tank'!B5</f>
        <v>SECTION 10: SEPTIC TANK</v>
      </c>
      <c r="C37" s="506"/>
      <c r="D37" s="89"/>
      <c r="E37" s="1229"/>
      <c r="F37" s="90"/>
    </row>
    <row r="38" spans="1:6" s="504" customFormat="1" ht="14.25" customHeight="1">
      <c r="A38" s="505"/>
      <c r="B38" s="507"/>
      <c r="C38" s="506"/>
      <c r="D38" s="89"/>
      <c r="F38" s="90"/>
    </row>
    <row r="39" spans="1:6" s="504" customFormat="1" ht="14.25" customHeight="1">
      <c r="A39" s="505">
        <v>17</v>
      </c>
      <c r="B39" s="507" t="str">
        <f>'17 External Works'!B3</f>
        <v>SECTION 17: EXTERNAL WORKS</v>
      </c>
      <c r="C39" s="506"/>
      <c r="D39" s="89"/>
      <c r="E39" s="1229"/>
      <c r="F39" s="90"/>
    </row>
    <row r="40" spans="1:6" s="504" customFormat="1" ht="14.25" customHeight="1">
      <c r="A40" s="505"/>
      <c r="B40" s="507"/>
      <c r="C40" s="506"/>
      <c r="D40" s="89"/>
      <c r="F40" s="90"/>
    </row>
    <row r="41" spans="1:6" s="504" customFormat="1" ht="14.25" customHeight="1">
      <c r="A41" s="505"/>
      <c r="B41" s="507"/>
      <c r="C41" s="506"/>
      <c r="D41" s="89"/>
      <c r="F41" s="90"/>
    </row>
    <row r="42" spans="1:6" ht="14.25" customHeight="1">
      <c r="A42" s="87"/>
      <c r="B42" s="102" t="s">
        <v>576</v>
      </c>
      <c r="C42" s="103"/>
      <c r="D42" s="104"/>
      <c r="E42" s="1229"/>
    </row>
    <row r="43" spans="1:6" ht="14.25" customHeight="1">
      <c r="A43" s="87"/>
      <c r="B43" s="94"/>
      <c r="C43" s="88"/>
      <c r="D43" s="89"/>
      <c r="F43" s="90">
        <v>195213</v>
      </c>
    </row>
    <row r="44" spans="1:6" ht="28.8">
      <c r="A44" s="87"/>
      <c r="B44" s="748" t="s">
        <v>577</v>
      </c>
      <c r="C44" s="749"/>
      <c r="D44" s="97"/>
    </row>
    <row r="45" spans="1:6" ht="14.25" customHeight="1">
      <c r="A45" s="87"/>
      <c r="B45" s="94"/>
      <c r="C45" s="88"/>
      <c r="D45" s="89"/>
    </row>
    <row r="46" spans="1:6" ht="14.25" customHeight="1">
      <c r="A46" s="87"/>
      <c r="B46" s="102" t="s">
        <v>578</v>
      </c>
      <c r="C46" s="88"/>
      <c r="D46" s="104"/>
    </row>
    <row r="47" spans="1:6" ht="14.25" customHeight="1">
      <c r="A47" s="87"/>
      <c r="B47" s="94"/>
      <c r="C47" s="88"/>
      <c r="D47" s="89"/>
    </row>
    <row r="48" spans="1:6" s="107" customFormat="1" ht="14.25" customHeight="1">
      <c r="A48" s="87"/>
      <c r="B48" s="94" t="s">
        <v>262</v>
      </c>
      <c r="C48" s="105"/>
      <c r="D48" s="89"/>
      <c r="E48" s="1361"/>
      <c r="F48" s="106">
        <v>25000</v>
      </c>
    </row>
    <row r="49" spans="1:6" s="107" customFormat="1" ht="14.25" customHeight="1">
      <c r="A49" s="87"/>
      <c r="B49" s="94"/>
      <c r="C49" s="105"/>
      <c r="D49" s="89"/>
      <c r="F49" s="106">
        <v>75000</v>
      </c>
    </row>
    <row r="50" spans="1:6" s="107" customFormat="1" ht="14.25" customHeight="1">
      <c r="A50" s="87"/>
      <c r="B50" s="94" t="s">
        <v>579</v>
      </c>
      <c r="C50" s="108"/>
      <c r="D50" s="89"/>
      <c r="E50" s="1361"/>
      <c r="F50" s="106">
        <v>200000</v>
      </c>
    </row>
    <row r="51" spans="1:6" s="107" customFormat="1" ht="14.25" customHeight="1">
      <c r="A51" s="87"/>
      <c r="B51" s="94"/>
      <c r="C51" s="105"/>
      <c r="D51" s="89"/>
      <c r="F51" s="106">
        <v>250000</v>
      </c>
    </row>
    <row r="52" spans="1:6" s="107" customFormat="1" ht="14.25" customHeight="1">
      <c r="A52" s="87"/>
      <c r="B52" s="94" t="s">
        <v>263</v>
      </c>
      <c r="C52" s="105"/>
      <c r="D52" s="89"/>
      <c r="F52" s="106">
        <v>100000</v>
      </c>
    </row>
    <row r="53" spans="1:6" s="107" customFormat="1" ht="14.25" customHeight="1">
      <c r="A53" s="87"/>
      <c r="B53" s="94"/>
      <c r="C53" s="105"/>
      <c r="D53" s="89"/>
      <c r="F53" s="106">
        <v>200000</v>
      </c>
    </row>
    <row r="54" spans="1:6" s="107" customFormat="1" ht="14.25" customHeight="1">
      <c r="A54" s="87"/>
      <c r="B54" s="94" t="s">
        <v>264</v>
      </c>
      <c r="C54" s="105"/>
      <c r="D54" s="89"/>
      <c r="F54" s="106">
        <f>SUM(F43:F53)</f>
        <v>1045213</v>
      </c>
    </row>
    <row r="55" spans="1:6" s="107" customFormat="1" ht="14.25" customHeight="1">
      <c r="A55" s="87"/>
      <c r="B55" s="94"/>
      <c r="C55" s="105"/>
      <c r="D55" s="89"/>
      <c r="F55" s="106"/>
    </row>
    <row r="56" spans="1:6" s="107" customFormat="1" ht="14.25" customHeight="1">
      <c r="A56" s="87"/>
      <c r="B56" s="94" t="s">
        <v>265</v>
      </c>
      <c r="C56" s="105"/>
      <c r="D56" s="89"/>
      <c r="F56" s="106"/>
    </row>
    <row r="57" spans="1:6" s="107" customFormat="1" ht="14.25" customHeight="1">
      <c r="A57" s="87"/>
      <c r="B57" s="94"/>
      <c r="C57" s="105"/>
      <c r="D57" s="89"/>
      <c r="F57" s="106"/>
    </row>
    <row r="58" spans="1:6" s="107" customFormat="1" ht="14.25" customHeight="1">
      <c r="A58" s="87"/>
      <c r="B58" s="94"/>
      <c r="C58" s="105"/>
      <c r="D58" s="89"/>
      <c r="F58" s="106"/>
    </row>
    <row r="59" spans="1:6" s="107" customFormat="1" ht="14.25" customHeight="1">
      <c r="A59" s="87"/>
      <c r="B59" s="94" t="s">
        <v>266</v>
      </c>
      <c r="C59" s="105"/>
      <c r="D59" s="89"/>
      <c r="F59" s="106"/>
    </row>
    <row r="60" spans="1:6" s="107" customFormat="1" ht="14.25" customHeight="1">
      <c r="A60" s="87"/>
      <c r="B60" s="94"/>
      <c r="C60" s="105"/>
      <c r="D60" s="89"/>
      <c r="F60" s="106"/>
    </row>
    <row r="61" spans="1:6" s="107" customFormat="1" ht="14.25" customHeight="1">
      <c r="A61" s="87"/>
      <c r="B61" s="94" t="s">
        <v>580</v>
      </c>
      <c r="C61" s="109"/>
      <c r="D61" s="89"/>
      <c r="F61" s="106"/>
    </row>
    <row r="62" spans="1:6" s="107" customFormat="1" ht="14.25" customHeight="1">
      <c r="A62" s="87"/>
      <c r="B62" s="94"/>
      <c r="C62" s="109"/>
      <c r="D62" s="89"/>
      <c r="F62" s="106"/>
    </row>
    <row r="63" spans="1:6" s="107" customFormat="1" ht="14.25" customHeight="1">
      <c r="A63" s="87"/>
      <c r="B63" s="94" t="s">
        <v>267</v>
      </c>
      <c r="C63" s="109"/>
      <c r="D63" s="89"/>
      <c r="F63" s="106"/>
    </row>
    <row r="64" spans="1:6" s="107" customFormat="1" ht="14.25" customHeight="1">
      <c r="A64" s="87"/>
      <c r="B64" s="94"/>
      <c r="C64" s="109"/>
      <c r="D64" s="89"/>
      <c r="F64" s="106"/>
    </row>
    <row r="65" spans="1:6" s="107" customFormat="1" ht="14.25" customHeight="1">
      <c r="A65" s="87"/>
      <c r="B65" s="94" t="s">
        <v>264</v>
      </c>
      <c r="C65" s="109"/>
      <c r="D65" s="89"/>
      <c r="F65" s="106"/>
    </row>
    <row r="66" spans="1:6" s="107" customFormat="1" ht="14.25" customHeight="1">
      <c r="A66" s="87"/>
      <c r="B66" s="94"/>
      <c r="C66" s="109"/>
      <c r="D66" s="89"/>
      <c r="F66" s="106"/>
    </row>
    <row r="67" spans="1:6" s="107" customFormat="1" ht="14.25" customHeight="1">
      <c r="A67" s="87"/>
      <c r="B67" s="94" t="s">
        <v>268</v>
      </c>
      <c r="C67" s="109"/>
      <c r="D67" s="89"/>
      <c r="F67" s="106"/>
    </row>
  </sheetData>
  <customSheetViews>
    <customSheetView guid="{58A41188-4CB9-4607-A927-9B98665919B2}" scale="70" showPageBreaks="1" printArea="1" view="pageBreakPreview" topLeftCell="A6">
      <selection activeCell="F61" sqref="F61"/>
      <pageMargins left="0.2" right="0.2" top="0.75" bottom="0.5" header="0.45" footer="0.3"/>
      <printOptions horizontalCentered="1"/>
      <pageSetup scale="75" orientation="portrait" r:id="rId1"/>
      <headerFooter alignWithMargins="0">
        <oddHeader>&amp;LGRAND SUMMARY&amp;R PROPOSED SHIBIS DISTRICT NEW POLICE STATION</oddHeader>
        <oddFooter>&amp;CGrand Summary</oddFooter>
      </headerFooter>
    </customSheetView>
    <customSheetView guid="{1E933494-4ABB-4290-95BF-88ADDB331983}" scale="108" showPageBreaks="1" printArea="1" view="pageBreakPreview" topLeftCell="A54">
      <selection activeCell="D68" sqref="A1:D68"/>
      <pageMargins left="0.2" right="0.2" top="0.75" bottom="0.5" header="0.45" footer="0.3"/>
      <printOptions horizontalCentered="1"/>
      <pageSetup scale="73" orientation="portrait" r:id="rId2"/>
      <headerFooter alignWithMargins="0">
        <oddHeader>&amp;LGRAND SUMMARY&amp;R PROPOSED SHIBIS DISTRICT NEW POLICE STATION</oddHeader>
        <oddFooter>&amp;CGrand Summary</oddFooter>
      </headerFooter>
    </customSheetView>
  </customSheetViews>
  <printOptions horizontalCentered="1"/>
  <pageMargins left="0.2" right="0.2" top="0.75" bottom="0.5" header="0.45" footer="0.3"/>
  <pageSetup scale="71" orientation="portrait" r:id="rId3"/>
  <headerFooter alignWithMargins="0">
    <oddHeader>&amp;LGRAND SUMMARY&amp;R PROPOSED SHIBIS DISTRICT NEW POLICE STATION</oddHeader>
    <oddFooter>&amp;CGrand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65"/>
  <sheetViews>
    <sheetView view="pageBreakPreview" zoomScale="112" zoomScaleNormal="100" zoomScaleSheetLayoutView="112" workbookViewId="0">
      <pane xSplit="2" ySplit="1" topLeftCell="C149" activePane="bottomRight" state="frozen"/>
      <selection pane="topRight" activeCell="C1" sqref="C1"/>
      <selection pane="bottomLeft" activeCell="A2" sqref="A2"/>
      <selection pane="bottomRight" activeCell="E113" sqref="E113:E165"/>
    </sheetView>
  </sheetViews>
  <sheetFormatPr defaultColWidth="8.88671875" defaultRowHeight="14.4"/>
  <cols>
    <col min="1" max="1" width="6.6640625" style="423" bestFit="1" customWidth="1"/>
    <col min="2" max="2" width="49.33203125" style="32" customWidth="1"/>
    <col min="3" max="3" width="8.88671875" style="32"/>
    <col min="4" max="4" width="6.88671875" style="32" bestFit="1" customWidth="1"/>
    <col min="5" max="5" width="8.5546875" style="32" customWidth="1"/>
    <col min="6" max="6" width="16" style="32" customWidth="1"/>
    <col min="7" max="16384" width="8.88671875" style="32"/>
  </cols>
  <sheetData>
    <row r="1" spans="1:6">
      <c r="A1" s="806" t="s">
        <v>260</v>
      </c>
      <c r="B1" s="807" t="s">
        <v>13</v>
      </c>
      <c r="C1" s="808" t="s">
        <v>330</v>
      </c>
      <c r="D1" s="809" t="s">
        <v>331</v>
      </c>
      <c r="E1" s="810" t="s">
        <v>332</v>
      </c>
      <c r="F1" s="811"/>
    </row>
    <row r="2" spans="1:6">
      <c r="A2" s="54"/>
      <c r="B2" s="15" t="str">
        <f>'1 Preliminaries '!B2</f>
        <v>PROPOSED MALE TRANSITION CENTER - BAIDOA</v>
      </c>
      <c r="C2" s="30"/>
      <c r="D2" s="35"/>
      <c r="E2" s="51"/>
      <c r="F2" s="55"/>
    </row>
    <row r="3" spans="1:6">
      <c r="A3" s="54"/>
      <c r="B3" s="31" t="s">
        <v>1068</v>
      </c>
      <c r="C3" s="30"/>
      <c r="D3" s="35"/>
      <c r="E3" s="51"/>
      <c r="F3" s="55"/>
    </row>
    <row r="4" spans="1:6">
      <c r="A4" s="54"/>
      <c r="B4" s="31"/>
      <c r="C4" s="30"/>
      <c r="D4" s="35"/>
      <c r="E4" s="51"/>
      <c r="F4" s="55"/>
    </row>
    <row r="5" spans="1:6">
      <c r="A5" s="413">
        <v>2</v>
      </c>
      <c r="B5" s="15" t="s">
        <v>1010</v>
      </c>
      <c r="C5" s="16"/>
      <c r="D5" s="17"/>
      <c r="E5" s="36"/>
      <c r="F5" s="56"/>
    </row>
    <row r="6" spans="1:6" s="504" customFormat="1">
      <c r="A6" s="750"/>
      <c r="B6" s="751"/>
      <c r="C6" s="752"/>
      <c r="D6" s="753"/>
      <c r="E6" s="754"/>
      <c r="F6" s="755"/>
    </row>
    <row r="7" spans="1:6" s="504" customFormat="1">
      <c r="A7" s="413">
        <v>2.1</v>
      </c>
      <c r="B7" s="15" t="s">
        <v>974</v>
      </c>
      <c r="C7" s="16"/>
      <c r="D7" s="17"/>
      <c r="E7" s="36"/>
      <c r="F7" s="56"/>
    </row>
    <row r="8" spans="1:6" s="504" customFormat="1" ht="62.4">
      <c r="A8" s="412" t="s">
        <v>636</v>
      </c>
      <c r="B8" s="164" t="s">
        <v>975</v>
      </c>
      <c r="C8" s="17" t="s">
        <v>689</v>
      </c>
      <c r="D8" s="268">
        <f>CEILING(179*0.2+4*3*0.5*0.5,1)</f>
        <v>39</v>
      </c>
      <c r="E8" s="759"/>
      <c r="F8" s="56"/>
    </row>
    <row r="9" spans="1:6" s="504" customFormat="1" ht="16.2">
      <c r="A9" s="412" t="s">
        <v>637</v>
      </c>
      <c r="B9" s="164" t="s">
        <v>698</v>
      </c>
      <c r="C9" s="17" t="s">
        <v>465</v>
      </c>
      <c r="D9" s="17">
        <f>CEILING(330-D8,1)</f>
        <v>291</v>
      </c>
      <c r="E9" s="36"/>
      <c r="F9" s="56"/>
    </row>
    <row r="10" spans="1:6" s="150" customFormat="1">
      <c r="A10" s="1209"/>
      <c r="B10" s="1210" t="s">
        <v>1701</v>
      </c>
      <c r="C10" s="1211"/>
      <c r="D10" s="1211"/>
      <c r="E10" s="1212"/>
      <c r="F10" s="1213"/>
    </row>
    <row r="11" spans="1:6" s="504" customFormat="1">
      <c r="A11" s="756"/>
      <c r="B11" s="23"/>
      <c r="C11" s="25"/>
      <c r="D11" s="25"/>
      <c r="E11" s="757"/>
      <c r="F11" s="758"/>
    </row>
    <row r="12" spans="1:6" s="504" customFormat="1" ht="28.8">
      <c r="A12" s="413">
        <v>2.2000000000000002</v>
      </c>
      <c r="B12" s="15" t="s">
        <v>977</v>
      </c>
      <c r="C12" s="25"/>
      <c r="D12" s="25"/>
      <c r="E12" s="757"/>
      <c r="F12" s="758"/>
    </row>
    <row r="13" spans="1:6" s="504" customFormat="1">
      <c r="A13" s="545"/>
      <c r="B13" s="546" t="s">
        <v>873</v>
      </c>
      <c r="C13" s="547"/>
      <c r="D13" s="547"/>
      <c r="E13" s="547"/>
      <c r="F13" s="576"/>
    </row>
    <row r="14" spans="1:6" s="504" customFormat="1" ht="27">
      <c r="A14" s="548" t="s">
        <v>634</v>
      </c>
      <c r="B14" s="549" t="s">
        <v>874</v>
      </c>
      <c r="C14" s="547" t="s">
        <v>500</v>
      </c>
      <c r="D14" s="547">
        <v>2</v>
      </c>
      <c r="E14" s="547"/>
      <c r="F14" s="576"/>
    </row>
    <row r="15" spans="1:6" s="504" customFormat="1" ht="27">
      <c r="A15" s="548" t="s">
        <v>635</v>
      </c>
      <c r="B15" s="549" t="s">
        <v>976</v>
      </c>
      <c r="C15" s="547" t="s">
        <v>501</v>
      </c>
      <c r="D15" s="547">
        <f>CEILING(0.6*0.6*1.5,1)</f>
        <v>1</v>
      </c>
      <c r="E15" s="547"/>
      <c r="F15" s="576"/>
    </row>
    <row r="16" spans="1:6" s="504" customFormat="1">
      <c r="A16" s="548"/>
      <c r="B16" s="549"/>
      <c r="C16" s="547"/>
      <c r="D16" s="547"/>
      <c r="E16" s="547"/>
      <c r="F16" s="576"/>
    </row>
    <row r="17" spans="1:6" s="504" customFormat="1">
      <c r="A17" s="545"/>
      <c r="B17" s="546" t="s">
        <v>876</v>
      </c>
      <c r="C17" s="547"/>
      <c r="D17" s="547"/>
      <c r="E17" s="547"/>
      <c r="F17" s="576"/>
    </row>
    <row r="18" spans="1:6" s="504" customFormat="1" ht="27">
      <c r="A18" s="548" t="s">
        <v>978</v>
      </c>
      <c r="B18" s="549" t="s">
        <v>877</v>
      </c>
      <c r="C18" s="547" t="s">
        <v>501</v>
      </c>
      <c r="D18" s="547">
        <f>CEILING(D15-(6*0.25*0.6*2)+(0.3*0.3*1*2),1)</f>
        <v>0</v>
      </c>
      <c r="E18" s="547"/>
      <c r="F18" s="576"/>
    </row>
    <row r="19" spans="1:6" s="504" customFormat="1" ht="16.2">
      <c r="A19" s="548" t="s">
        <v>979</v>
      </c>
      <c r="B19" s="549" t="s">
        <v>878</v>
      </c>
      <c r="C19" s="547" t="s">
        <v>501</v>
      </c>
      <c r="D19" s="547">
        <f>D15-D18</f>
        <v>1</v>
      </c>
      <c r="E19" s="547"/>
      <c r="F19" s="576"/>
    </row>
    <row r="20" spans="1:6" s="504" customFormat="1">
      <c r="A20" s="561"/>
      <c r="B20" s="562"/>
      <c r="C20" s="563"/>
      <c r="D20" s="563"/>
      <c r="E20" s="564"/>
      <c r="F20" s="576"/>
    </row>
    <row r="21" spans="1:6" s="504" customFormat="1">
      <c r="A21" s="545"/>
      <c r="B21" s="546" t="s">
        <v>884</v>
      </c>
      <c r="C21" s="547"/>
      <c r="D21" s="547"/>
      <c r="E21" s="547"/>
      <c r="F21" s="576"/>
    </row>
    <row r="22" spans="1:6" s="504" customFormat="1" ht="16.2">
      <c r="A22" s="548" t="s">
        <v>980</v>
      </c>
      <c r="B22" s="549" t="s">
        <v>982</v>
      </c>
      <c r="C22" s="547" t="s">
        <v>501</v>
      </c>
      <c r="D22" s="547">
        <f>0.25*0.6*0.6*2+0.3*0.3*1*2</f>
        <v>0.36</v>
      </c>
      <c r="E22" s="547"/>
      <c r="F22" s="576"/>
    </row>
    <row r="23" spans="1:6" s="504" customFormat="1" ht="16.2">
      <c r="A23" s="548" t="s">
        <v>981</v>
      </c>
      <c r="B23" s="549" t="s">
        <v>985</v>
      </c>
      <c r="C23" s="547" t="s">
        <v>501</v>
      </c>
      <c r="D23" s="547">
        <f>CEILING(0.3*0.3*4.3*2,1)</f>
        <v>1</v>
      </c>
      <c r="E23" s="547"/>
      <c r="F23" s="576"/>
    </row>
    <row r="24" spans="1:6" s="504" customFormat="1" ht="16.2">
      <c r="A24" s="548" t="s">
        <v>986</v>
      </c>
      <c r="B24" s="549" t="s">
        <v>886</v>
      </c>
      <c r="C24" s="547" t="s">
        <v>501</v>
      </c>
      <c r="D24" s="547">
        <f>CEILING(0.3*0.2*3.6+0.3*0.2*1.625*2,1)</f>
        <v>1</v>
      </c>
      <c r="E24" s="547"/>
      <c r="F24" s="576"/>
    </row>
    <row r="25" spans="1:6" s="504" customFormat="1">
      <c r="A25" s="548"/>
      <c r="B25" s="549"/>
      <c r="C25" s="547"/>
      <c r="D25" s="547"/>
      <c r="E25" s="547"/>
      <c r="F25" s="576"/>
    </row>
    <row r="26" spans="1:6" s="504" customFormat="1">
      <c r="A26" s="548"/>
      <c r="B26" s="546" t="s">
        <v>888</v>
      </c>
      <c r="C26" s="547"/>
      <c r="D26" s="547"/>
      <c r="E26" s="547"/>
      <c r="F26" s="576"/>
    </row>
    <row r="27" spans="1:6" s="504" customFormat="1" ht="28.8">
      <c r="A27" s="548" t="s">
        <v>987</v>
      </c>
      <c r="B27" s="551" t="s">
        <v>889</v>
      </c>
      <c r="C27" s="547"/>
      <c r="D27" s="547"/>
      <c r="E27" s="547"/>
      <c r="F27" s="576"/>
    </row>
    <row r="28" spans="1:6" s="504" customFormat="1">
      <c r="A28" s="548"/>
      <c r="B28" s="551" t="s">
        <v>890</v>
      </c>
      <c r="C28" s="547"/>
      <c r="D28" s="547"/>
      <c r="E28" s="547"/>
      <c r="F28" s="576"/>
    </row>
    <row r="29" spans="1:6" s="504" customFormat="1">
      <c r="A29" s="548" t="s">
        <v>988</v>
      </c>
      <c r="B29" s="549" t="s">
        <v>891</v>
      </c>
      <c r="C29" s="547" t="s">
        <v>892</v>
      </c>
      <c r="D29" s="547">
        <f>CEILING((3.3/0.2+1)*(0.2*4+0.15)*2*0.395,1)</f>
        <v>14</v>
      </c>
      <c r="E29" s="547"/>
      <c r="F29" s="576"/>
    </row>
    <row r="30" spans="1:6" s="504" customFormat="1">
      <c r="A30" s="548" t="s">
        <v>989</v>
      </c>
      <c r="B30" s="549" t="s">
        <v>893</v>
      </c>
      <c r="C30" s="547" t="s">
        <v>892</v>
      </c>
      <c r="D30" s="547">
        <f>CEILING(4*2*4.6*0.888,1)</f>
        <v>33</v>
      </c>
      <c r="E30" s="547"/>
      <c r="F30" s="576"/>
    </row>
    <row r="31" spans="1:6" s="504" customFormat="1">
      <c r="A31" s="548"/>
      <c r="B31" s="549"/>
      <c r="C31" s="547"/>
      <c r="D31" s="547"/>
      <c r="E31" s="547"/>
      <c r="F31" s="576"/>
    </row>
    <row r="32" spans="1:6" s="504" customFormat="1">
      <c r="A32" s="545"/>
      <c r="B32" s="546" t="s">
        <v>894</v>
      </c>
      <c r="C32" s="547"/>
      <c r="D32" s="547"/>
      <c r="E32" s="547"/>
      <c r="F32" s="576"/>
    </row>
    <row r="33" spans="1:8" s="504" customFormat="1" ht="16.2">
      <c r="A33" s="548" t="s">
        <v>990</v>
      </c>
      <c r="B33" s="549" t="s">
        <v>983</v>
      </c>
      <c r="C33" s="547" t="s">
        <v>500</v>
      </c>
      <c r="D33" s="547">
        <f>CEILING(0.6*4*0.25*2,1)</f>
        <v>2</v>
      </c>
      <c r="E33" s="547"/>
      <c r="F33" s="576"/>
    </row>
    <row r="34" spans="1:8" s="504" customFormat="1">
      <c r="A34" s="548" t="s">
        <v>991</v>
      </c>
      <c r="B34" s="549" t="s">
        <v>984</v>
      </c>
      <c r="C34" s="547" t="s">
        <v>325</v>
      </c>
      <c r="D34" s="547">
        <f>CEILING(0.3*4*4.6*2,1)</f>
        <v>12</v>
      </c>
      <c r="E34" s="547"/>
      <c r="F34" s="576"/>
    </row>
    <row r="35" spans="1:8" s="504" customFormat="1" ht="15.6">
      <c r="A35" s="542"/>
      <c r="B35" s="515" t="s">
        <v>1702</v>
      </c>
      <c r="C35" s="514"/>
      <c r="D35" s="514"/>
      <c r="E35" s="514"/>
      <c r="F35" s="577"/>
    </row>
    <row r="36" spans="1:8" s="504" customFormat="1">
      <c r="A36" s="800" t="s">
        <v>260</v>
      </c>
      <c r="B36" s="801" t="s">
        <v>13</v>
      </c>
      <c r="C36" s="802" t="s">
        <v>330</v>
      </c>
      <c r="D36" s="803" t="s">
        <v>331</v>
      </c>
      <c r="E36" s="804"/>
      <c r="F36" s="805"/>
    </row>
    <row r="37" spans="1:8" s="504" customFormat="1" ht="15.6">
      <c r="A37" s="516"/>
      <c r="B37" s="515"/>
      <c r="C37" s="770"/>
      <c r="D37" s="770"/>
      <c r="E37" s="770"/>
      <c r="F37" s="577"/>
    </row>
    <row r="38" spans="1:8" s="504" customFormat="1" ht="15.6">
      <c r="A38" s="760">
        <v>2.2999999999999998</v>
      </c>
      <c r="B38" s="202" t="s">
        <v>992</v>
      </c>
      <c r="C38" s="770"/>
      <c r="D38" s="770"/>
      <c r="E38" s="770"/>
      <c r="F38" s="577"/>
    </row>
    <row r="39" spans="1:8" s="504" customFormat="1">
      <c r="A39" s="760"/>
      <c r="B39" s="762" t="s">
        <v>993</v>
      </c>
      <c r="C39" s="763"/>
      <c r="D39" s="763"/>
      <c r="E39" s="764"/>
      <c r="F39" s="765"/>
    </row>
    <row r="40" spans="1:8" s="504" customFormat="1" ht="27">
      <c r="A40" s="766" t="s">
        <v>638</v>
      </c>
      <c r="B40" s="767" t="s">
        <v>994</v>
      </c>
      <c r="C40" s="763" t="s">
        <v>500</v>
      </c>
      <c r="D40" s="763">
        <f>CEILING(((14.2+16.2*3+19.6+60.4+30.4)*3.3),1)</f>
        <v>572</v>
      </c>
      <c r="E40" s="764"/>
      <c r="F40" s="765"/>
    </row>
    <row r="41" spans="1:8" s="504" customFormat="1" ht="28.8">
      <c r="A41" s="768" t="s">
        <v>639</v>
      </c>
      <c r="B41" s="769" t="s">
        <v>995</v>
      </c>
      <c r="C41" s="770" t="s">
        <v>925</v>
      </c>
      <c r="D41" s="763">
        <f>CEILING(((14.2+16.2*3+19.6)*3.3),1)</f>
        <v>272</v>
      </c>
      <c r="E41" s="771"/>
      <c r="F41" s="772"/>
    </row>
    <row r="42" spans="1:8" s="504" customFormat="1" ht="28.8">
      <c r="A42" s="768" t="s">
        <v>640</v>
      </c>
      <c r="B42" s="769" t="s">
        <v>996</v>
      </c>
      <c r="C42" s="770" t="s">
        <v>925</v>
      </c>
      <c r="D42" s="763">
        <f>CEILING(((60.4+30.4)*3.3),1)</f>
        <v>300</v>
      </c>
      <c r="E42" s="771"/>
      <c r="F42" s="772"/>
    </row>
    <row r="43" spans="1:8" s="504" customFormat="1">
      <c r="A43" s="1190"/>
      <c r="B43" s="1191"/>
      <c r="C43" s="1192"/>
      <c r="D43" s="1193"/>
      <c r="E43" s="1194"/>
      <c r="F43" s="1195"/>
    </row>
    <row r="44" spans="1:8" s="150" customFormat="1">
      <c r="A44" s="1219"/>
      <c r="B44" s="1220" t="s">
        <v>1708</v>
      </c>
      <c r="C44" s="1221"/>
      <c r="D44" s="1222"/>
      <c r="E44" s="1223"/>
      <c r="F44" s="1224"/>
    </row>
    <row r="45" spans="1:8" s="1168" customFormat="1">
      <c r="A45" s="1162">
        <v>2.4</v>
      </c>
      <c r="B45" s="1163" t="s">
        <v>1099</v>
      </c>
      <c r="C45" s="1164"/>
      <c r="D45" s="1165"/>
      <c r="E45" s="1166"/>
      <c r="F45" s="1167"/>
    </row>
    <row r="46" spans="1:8" s="66" customFormat="1">
      <c r="A46" s="1169"/>
      <c r="B46" s="1170" t="s">
        <v>1100</v>
      </c>
      <c r="C46" s="1171"/>
      <c r="D46" s="1172"/>
      <c r="E46" s="1171"/>
      <c r="F46" s="1173"/>
    </row>
    <row r="47" spans="1:8" s="1178" customFormat="1">
      <c r="A47" s="1174" t="s">
        <v>634</v>
      </c>
      <c r="B47" s="1062" t="s">
        <v>1101</v>
      </c>
      <c r="C47" s="1175" t="s">
        <v>282</v>
      </c>
      <c r="D47" s="1179">
        <f>CEILING((125+3.85*4)*0.5*0.2,1)</f>
        <v>15</v>
      </c>
      <c r="E47" s="1175"/>
      <c r="F47" s="1177"/>
      <c r="H47" s="1178">
        <f>(174.3*0.4*0.45)+(92.15*0.4*0.45)</f>
        <v>47.961000000000013</v>
      </c>
    </row>
    <row r="48" spans="1:8" s="1178" customFormat="1">
      <c r="A48" s="1174"/>
      <c r="B48" s="1062" t="s">
        <v>1675</v>
      </c>
      <c r="C48" s="1175" t="s">
        <v>282</v>
      </c>
      <c r="D48" s="1179">
        <f>CEILING(125*0.15,1)</f>
        <v>19</v>
      </c>
      <c r="E48" s="1180"/>
      <c r="F48" s="1181"/>
    </row>
    <row r="49" spans="1:198" s="1178" customFormat="1">
      <c r="A49" s="1174"/>
      <c r="B49" s="1182" t="s">
        <v>1676</v>
      </c>
      <c r="C49" s="1175" t="s">
        <v>282</v>
      </c>
      <c r="D49" s="1179">
        <f>CEILING(2*0.3*0.3*3.3,1)</f>
        <v>1</v>
      </c>
      <c r="E49" s="1180"/>
      <c r="F49" s="1181"/>
    </row>
    <row r="50" spans="1:198" s="66" customFormat="1">
      <c r="A50" s="1169"/>
      <c r="B50" s="1170" t="s">
        <v>534</v>
      </c>
      <c r="C50" s="1171"/>
      <c r="D50" s="1172"/>
      <c r="E50" s="1171"/>
      <c r="F50" s="1173"/>
    </row>
    <row r="51" spans="1:198" s="66" customFormat="1">
      <c r="A51" s="1169"/>
      <c r="B51" s="1170" t="s">
        <v>535</v>
      </c>
      <c r="C51" s="1171"/>
      <c r="D51" s="1172"/>
      <c r="E51" s="1171"/>
      <c r="F51" s="1173"/>
    </row>
    <row r="52" spans="1:198" s="66" customFormat="1">
      <c r="A52" s="1169" t="s">
        <v>635</v>
      </c>
      <c r="B52" s="1183" t="s">
        <v>1102</v>
      </c>
      <c r="C52" s="1171" t="s">
        <v>287</v>
      </c>
      <c r="D52" s="1048">
        <f>CEILING((67.4+24.8+3.95*4)/0.2*0.7*0.395,1)</f>
        <v>150</v>
      </c>
      <c r="E52" s="1171"/>
      <c r="F52" s="1173"/>
      <c r="G52" s="66">
        <f>D52*110</f>
        <v>16500</v>
      </c>
    </row>
    <row r="53" spans="1:198" s="66" customFormat="1">
      <c r="A53" s="1169" t="s">
        <v>1677</v>
      </c>
      <c r="B53" s="1183" t="s">
        <v>1103</v>
      </c>
      <c r="C53" s="1171" t="s">
        <v>287</v>
      </c>
      <c r="D53" s="1048">
        <f>CEILING((67.4+24.8+3.95*4)*4*1.15*0.888,1)+CEILING(6.85/0.2*25.25*0.115*2*0.888,1)+CEILING(25.25/0.2*6.85*2*0.888,1)</f>
        <v>2155</v>
      </c>
      <c r="E53" s="1171"/>
      <c r="F53" s="1173"/>
    </row>
    <row r="54" spans="1:198" s="66" customFormat="1">
      <c r="A54" s="1169"/>
      <c r="B54" s="1183"/>
      <c r="C54" s="1171"/>
      <c r="D54" s="1048"/>
      <c r="E54" s="1171"/>
      <c r="F54" s="1173"/>
    </row>
    <row r="55" spans="1:198" s="66" customFormat="1">
      <c r="A55" s="1169"/>
      <c r="B55" s="1184" t="s">
        <v>1104</v>
      </c>
      <c r="C55" s="1171"/>
      <c r="D55" s="1172"/>
      <c r="E55" s="1171"/>
      <c r="F55" s="1173"/>
    </row>
    <row r="56" spans="1:198" s="66" customFormat="1">
      <c r="A56" s="1169" t="s">
        <v>1678</v>
      </c>
      <c r="B56" s="1183" t="s">
        <v>1105</v>
      </c>
      <c r="C56" s="1171" t="s">
        <v>8</v>
      </c>
      <c r="D56" s="1048">
        <f>CEILING((67.4+24.8+3.95*4)*0.2*2,1)</f>
        <v>44</v>
      </c>
      <c r="E56" s="1171"/>
      <c r="F56" s="1173"/>
    </row>
    <row r="57" spans="1:198" s="66" customFormat="1">
      <c r="A57" s="1169"/>
      <c r="B57" s="1183" t="s">
        <v>1679</v>
      </c>
      <c r="C57" s="1171" t="s">
        <v>8</v>
      </c>
      <c r="D57" s="1048">
        <v>179</v>
      </c>
      <c r="E57" s="1171"/>
      <c r="F57" s="1173"/>
    </row>
    <row r="58" spans="1:198" s="1189" customFormat="1">
      <c r="A58" s="1185"/>
      <c r="B58" s="1185" t="s">
        <v>1106</v>
      </c>
      <c r="C58" s="1186"/>
      <c r="D58" s="1187"/>
      <c r="E58" s="1186"/>
      <c r="F58" s="1188"/>
    </row>
    <row r="59" spans="1:198" s="504" customFormat="1">
      <c r="A59" s="766"/>
      <c r="B59" s="767"/>
      <c r="C59" s="763"/>
      <c r="D59" s="763"/>
      <c r="E59" s="764"/>
      <c r="F59" s="765"/>
    </row>
    <row r="60" spans="1:198" s="504" customFormat="1">
      <c r="A60" s="760"/>
      <c r="B60" s="761" t="s">
        <v>1707</v>
      </c>
      <c r="C60" s="773"/>
      <c r="D60" s="773"/>
      <c r="E60" s="774"/>
      <c r="F60" s="765"/>
    </row>
    <row r="61" spans="1:198" s="176" customFormat="1" ht="31.2">
      <c r="A61" s="416" t="s">
        <v>11</v>
      </c>
      <c r="B61" s="162" t="s">
        <v>607</v>
      </c>
      <c r="C61" s="173" t="s">
        <v>11</v>
      </c>
      <c r="D61" s="173"/>
      <c r="E61" s="173"/>
      <c r="F61" s="174"/>
      <c r="G61" s="175"/>
    </row>
    <row r="62" spans="1:198" s="161" customFormat="1" ht="31.2">
      <c r="A62" s="415" t="s">
        <v>641</v>
      </c>
      <c r="B62" s="164" t="s">
        <v>608</v>
      </c>
      <c r="C62" s="163" t="s">
        <v>8</v>
      </c>
      <c r="D62" s="165">
        <f>CEILING(213*1.15,1)</f>
        <v>245</v>
      </c>
      <c r="E62" s="157"/>
      <c r="F62" s="158"/>
      <c r="G62" s="159"/>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c r="CF62" s="160"/>
      <c r="CG62" s="160"/>
      <c r="CH62" s="160"/>
      <c r="CI62" s="160"/>
      <c r="CJ62" s="160"/>
      <c r="CK62" s="160"/>
      <c r="CL62" s="160"/>
      <c r="CM62" s="160"/>
      <c r="CN62" s="160"/>
      <c r="CO62" s="160"/>
      <c r="CP62" s="160"/>
      <c r="CQ62" s="160"/>
      <c r="CR62" s="160"/>
      <c r="CS62" s="160"/>
      <c r="CT62" s="160"/>
      <c r="CU62" s="160"/>
      <c r="CV62" s="160"/>
      <c r="CW62" s="160"/>
      <c r="CX62" s="160"/>
      <c r="CY62" s="160"/>
      <c r="CZ62" s="160"/>
      <c r="DA62" s="160"/>
      <c r="DB62" s="160"/>
      <c r="DC62" s="160"/>
      <c r="DD62" s="160"/>
      <c r="DE62" s="160"/>
      <c r="DF62" s="160"/>
      <c r="DG62" s="160"/>
      <c r="DH62" s="160"/>
      <c r="DI62" s="160"/>
      <c r="DJ62" s="160"/>
      <c r="DK62" s="160"/>
      <c r="DL62" s="160"/>
      <c r="DM62" s="160"/>
      <c r="DN62" s="160"/>
      <c r="DO62" s="160"/>
      <c r="DP62" s="160"/>
      <c r="DQ62" s="160"/>
      <c r="DR62" s="160"/>
      <c r="DS62" s="160"/>
      <c r="DT62" s="160"/>
      <c r="DU62" s="160"/>
      <c r="DV62" s="160"/>
      <c r="DW62" s="160"/>
      <c r="DX62" s="160"/>
      <c r="DY62" s="160"/>
      <c r="DZ62" s="160"/>
      <c r="EA62" s="160"/>
      <c r="EB62" s="160"/>
      <c r="EC62" s="160"/>
      <c r="ED62" s="160"/>
      <c r="EE62" s="160"/>
      <c r="EF62" s="160"/>
      <c r="EG62" s="160"/>
      <c r="EH62" s="160"/>
      <c r="EI62" s="160"/>
      <c r="EJ62" s="160"/>
      <c r="EK62" s="160"/>
      <c r="EL62" s="160"/>
      <c r="EM62" s="160"/>
      <c r="EN62" s="160"/>
      <c r="EO62" s="160"/>
      <c r="EP62" s="160"/>
      <c r="EQ62" s="160"/>
      <c r="ER62" s="160"/>
      <c r="ES62" s="160"/>
      <c r="ET62" s="160"/>
      <c r="EU62" s="160"/>
      <c r="EV62" s="160"/>
      <c r="EW62" s="160"/>
      <c r="EX62" s="160"/>
      <c r="EY62" s="160"/>
      <c r="EZ62" s="160"/>
      <c r="FA62" s="160"/>
      <c r="FB62" s="160"/>
      <c r="FC62" s="160"/>
      <c r="FD62" s="160"/>
      <c r="FE62" s="160"/>
      <c r="FF62" s="160"/>
      <c r="FG62" s="160"/>
      <c r="FH62" s="160"/>
      <c r="FI62" s="160"/>
      <c r="FJ62" s="160"/>
      <c r="FK62" s="160"/>
      <c r="FL62" s="160"/>
      <c r="FM62" s="160"/>
      <c r="FN62" s="160"/>
      <c r="FO62" s="160"/>
      <c r="FP62" s="160"/>
      <c r="FQ62" s="160"/>
      <c r="FR62" s="160"/>
      <c r="FS62" s="160"/>
      <c r="FT62" s="160"/>
      <c r="FU62" s="160"/>
      <c r="FV62" s="160"/>
      <c r="FW62" s="160"/>
      <c r="FX62" s="160"/>
      <c r="FY62" s="160"/>
      <c r="FZ62" s="160"/>
      <c r="GA62" s="160"/>
      <c r="GB62" s="160"/>
      <c r="GC62" s="160"/>
      <c r="GD62" s="160"/>
      <c r="GE62" s="160"/>
      <c r="GF62" s="160"/>
      <c r="GG62" s="160"/>
      <c r="GH62" s="160"/>
      <c r="GI62" s="160"/>
      <c r="GJ62" s="160"/>
      <c r="GK62" s="160"/>
      <c r="GL62" s="160"/>
      <c r="GM62" s="160"/>
      <c r="GN62" s="160"/>
      <c r="GO62" s="160"/>
      <c r="GP62" s="160"/>
    </row>
    <row r="63" spans="1:198" s="176" customFormat="1" ht="15.6">
      <c r="A63" s="416" t="s">
        <v>642</v>
      </c>
      <c r="B63" s="173" t="s">
        <v>692</v>
      </c>
      <c r="C63" s="173" t="s">
        <v>9</v>
      </c>
      <c r="D63" s="173">
        <f>CEILING(15.8*18,1)</f>
        <v>285</v>
      </c>
      <c r="E63" s="173"/>
      <c r="F63" s="158"/>
      <c r="G63" s="175"/>
    </row>
    <row r="64" spans="1:198" s="176" customFormat="1" ht="15.6">
      <c r="A64" s="415" t="s">
        <v>643</v>
      </c>
      <c r="B64" s="173" t="s">
        <v>691</v>
      </c>
      <c r="C64" s="173" t="s">
        <v>9</v>
      </c>
      <c r="D64" s="173">
        <f>CEILING(12*18,1)</f>
        <v>216</v>
      </c>
      <c r="E64" s="173"/>
      <c r="F64" s="158"/>
      <c r="G64" s="175"/>
    </row>
    <row r="65" spans="1:7" s="176" customFormat="1" ht="15.6">
      <c r="A65" s="415" t="s">
        <v>644</v>
      </c>
      <c r="B65" s="173" t="s">
        <v>327</v>
      </c>
      <c r="C65" s="173" t="s">
        <v>9</v>
      </c>
      <c r="D65" s="173">
        <f>CEILING(26.25*8,1)</f>
        <v>210</v>
      </c>
      <c r="E65" s="173"/>
      <c r="F65" s="158"/>
      <c r="G65" s="175"/>
    </row>
    <row r="66" spans="1:7" s="176" customFormat="1" ht="15.6">
      <c r="A66" s="415" t="s">
        <v>645</v>
      </c>
      <c r="B66" s="173" t="s">
        <v>347</v>
      </c>
      <c r="C66" s="173" t="s">
        <v>9</v>
      </c>
      <c r="D66" s="173">
        <f>CEILING(56.6,1)</f>
        <v>57</v>
      </c>
      <c r="E66" s="173"/>
      <c r="F66" s="158"/>
      <c r="G66" s="175"/>
    </row>
    <row r="67" spans="1:7" s="176" customFormat="1" ht="15.6">
      <c r="A67" s="416" t="s">
        <v>646</v>
      </c>
      <c r="B67" s="173" t="s">
        <v>609</v>
      </c>
      <c r="C67" s="173" t="s">
        <v>9</v>
      </c>
      <c r="D67" s="173">
        <f>CEILING(18*3*0.5,1)</f>
        <v>27</v>
      </c>
      <c r="E67" s="173"/>
      <c r="F67" s="158"/>
      <c r="G67" s="175"/>
    </row>
    <row r="68" spans="1:7" s="176" customFormat="1" ht="15.6">
      <c r="A68" s="415" t="s">
        <v>647</v>
      </c>
      <c r="B68" s="173" t="s">
        <v>502</v>
      </c>
      <c r="C68" s="173" t="s">
        <v>9</v>
      </c>
      <c r="D68" s="173">
        <v>72</v>
      </c>
      <c r="E68" s="173"/>
      <c r="F68" s="158"/>
      <c r="G68" s="175"/>
    </row>
    <row r="69" spans="1:7" s="176" customFormat="1" ht="15.6">
      <c r="A69" s="791"/>
      <c r="B69" s="792"/>
      <c r="C69" s="792"/>
      <c r="D69" s="792"/>
      <c r="E69" s="792"/>
      <c r="F69" s="793"/>
      <c r="G69" s="175"/>
    </row>
    <row r="70" spans="1:7" s="504" customFormat="1" ht="15.6">
      <c r="A70" s="416" t="s">
        <v>11</v>
      </c>
      <c r="B70" s="177" t="s">
        <v>525</v>
      </c>
      <c r="C70" s="173" t="s">
        <v>11</v>
      </c>
      <c r="D70" s="173" t="s">
        <v>11</v>
      </c>
      <c r="E70" s="173"/>
      <c r="F70" s="179"/>
    </row>
    <row r="71" spans="1:7" s="504" customFormat="1" ht="15.6">
      <c r="A71" s="416" t="s">
        <v>648</v>
      </c>
      <c r="B71" s="173" t="s">
        <v>526</v>
      </c>
      <c r="C71" s="173" t="s">
        <v>11</v>
      </c>
      <c r="D71" s="173" t="s">
        <v>11</v>
      </c>
      <c r="E71" s="173"/>
      <c r="F71" s="179"/>
    </row>
    <row r="72" spans="1:7" s="504" customFormat="1" ht="15.6">
      <c r="A72" s="416" t="s">
        <v>649</v>
      </c>
      <c r="B72" s="173" t="s">
        <v>610</v>
      </c>
      <c r="C72" s="173" t="s">
        <v>8</v>
      </c>
      <c r="D72" s="173">
        <f>CEILING(213-178,1)</f>
        <v>35</v>
      </c>
      <c r="E72" s="173"/>
      <c r="F72" s="179"/>
    </row>
    <row r="73" spans="1:7" s="504" customFormat="1" ht="15.6">
      <c r="A73" s="416" t="s">
        <v>650</v>
      </c>
      <c r="B73" s="173" t="s">
        <v>527</v>
      </c>
      <c r="C73" s="173" t="s">
        <v>9</v>
      </c>
      <c r="D73" s="173">
        <v>72</v>
      </c>
      <c r="E73" s="173"/>
      <c r="F73" s="179"/>
    </row>
    <row r="74" spans="1:7" s="504" customFormat="1" ht="15.6">
      <c r="A74" s="417" t="s">
        <v>11</v>
      </c>
      <c r="B74" s="162" t="s">
        <v>303</v>
      </c>
      <c r="C74" s="173" t="s">
        <v>11</v>
      </c>
      <c r="D74" s="173" t="s">
        <v>11</v>
      </c>
      <c r="E74" s="173"/>
      <c r="F74" s="179"/>
    </row>
    <row r="75" spans="1:7" s="504" customFormat="1" ht="31.2">
      <c r="A75" s="417" t="s">
        <v>651</v>
      </c>
      <c r="B75" s="173" t="s">
        <v>611</v>
      </c>
      <c r="C75" s="173" t="s">
        <v>8</v>
      </c>
      <c r="D75" s="173">
        <f>D72</f>
        <v>35</v>
      </c>
      <c r="E75" s="173"/>
      <c r="F75" s="179"/>
    </row>
    <row r="76" spans="1:7" s="504" customFormat="1" ht="31.2">
      <c r="A76" s="417" t="s">
        <v>652</v>
      </c>
      <c r="B76" s="173" t="s">
        <v>528</v>
      </c>
      <c r="C76" s="173" t="s">
        <v>9</v>
      </c>
      <c r="D76" s="173">
        <f>D73</f>
        <v>72</v>
      </c>
      <c r="E76" s="173"/>
      <c r="F76" s="179"/>
    </row>
    <row r="77" spans="1:7" s="504" customFormat="1" ht="15.6">
      <c r="A77" s="417" t="s">
        <v>11</v>
      </c>
      <c r="B77" s="177" t="s">
        <v>503</v>
      </c>
      <c r="C77" s="173" t="s">
        <v>11</v>
      </c>
      <c r="D77" s="173" t="s">
        <v>11</v>
      </c>
      <c r="E77" s="173"/>
      <c r="F77" s="179"/>
    </row>
    <row r="78" spans="1:7" s="504" customFormat="1" ht="46.8">
      <c r="A78" s="417" t="s">
        <v>653</v>
      </c>
      <c r="B78" s="173" t="s">
        <v>612</v>
      </c>
      <c r="C78" s="173" t="s">
        <v>9</v>
      </c>
      <c r="D78" s="173">
        <f>D76</f>
        <v>72</v>
      </c>
      <c r="E78" s="173"/>
      <c r="F78" s="179"/>
    </row>
    <row r="79" spans="1:7" s="504" customFormat="1" ht="15.6">
      <c r="A79" s="416" t="s">
        <v>11</v>
      </c>
      <c r="B79" s="177" t="s">
        <v>490</v>
      </c>
      <c r="C79" s="173" t="s">
        <v>11</v>
      </c>
      <c r="D79" s="173" t="s">
        <v>11</v>
      </c>
      <c r="E79" s="173"/>
      <c r="F79" s="179"/>
    </row>
    <row r="80" spans="1:7" s="504" customFormat="1" ht="31.2">
      <c r="A80" s="416" t="s">
        <v>654</v>
      </c>
      <c r="B80" s="173" t="s">
        <v>348</v>
      </c>
      <c r="C80" s="173" t="s">
        <v>9</v>
      </c>
      <c r="D80" s="173">
        <f>8*3</f>
        <v>24</v>
      </c>
      <c r="E80" s="173"/>
      <c r="F80" s="179"/>
    </row>
    <row r="81" spans="1:6" s="504" customFormat="1" ht="15.6">
      <c r="A81" s="416" t="s">
        <v>655</v>
      </c>
      <c r="B81" s="173" t="s">
        <v>504</v>
      </c>
      <c r="C81" s="173" t="s">
        <v>305</v>
      </c>
      <c r="D81" s="173">
        <v>8</v>
      </c>
      <c r="E81" s="173"/>
      <c r="F81" s="179"/>
    </row>
    <row r="82" spans="1:6" s="504" customFormat="1" ht="15.6">
      <c r="A82" s="416" t="s">
        <v>656</v>
      </c>
      <c r="B82" s="173" t="s">
        <v>505</v>
      </c>
      <c r="C82" s="173" t="s">
        <v>305</v>
      </c>
      <c r="D82" s="173">
        <f>D81</f>
        <v>8</v>
      </c>
      <c r="E82" s="173"/>
      <c r="F82" s="179"/>
    </row>
    <row r="83" spans="1:6" s="504" customFormat="1" ht="31.2">
      <c r="A83" s="416" t="s">
        <v>657</v>
      </c>
      <c r="B83" s="173" t="s">
        <v>506</v>
      </c>
      <c r="C83" s="173" t="s">
        <v>11</v>
      </c>
      <c r="D83" s="173" t="s">
        <v>11</v>
      </c>
      <c r="E83" s="173"/>
      <c r="F83" s="179"/>
    </row>
    <row r="84" spans="1:6" s="504" customFormat="1" ht="15.6">
      <c r="A84" s="416" t="s">
        <v>658</v>
      </c>
      <c r="B84" s="173" t="s">
        <v>507</v>
      </c>
      <c r="C84" s="173" t="s">
        <v>9</v>
      </c>
      <c r="D84" s="173">
        <f>D78</f>
        <v>72</v>
      </c>
      <c r="E84" s="173"/>
      <c r="F84" s="179"/>
    </row>
    <row r="85" spans="1:6" s="504" customFormat="1" ht="31.2">
      <c r="A85" s="416" t="s">
        <v>659</v>
      </c>
      <c r="B85" s="173" t="s">
        <v>613</v>
      </c>
      <c r="C85" s="173" t="s">
        <v>9</v>
      </c>
      <c r="D85" s="173">
        <f>D84</f>
        <v>72</v>
      </c>
      <c r="E85" s="173"/>
      <c r="F85" s="179"/>
    </row>
    <row r="86" spans="1:6" s="504" customFormat="1" ht="15.6">
      <c r="A86" s="542"/>
      <c r="B86" s="515" t="s">
        <v>1702</v>
      </c>
      <c r="C86" s="514"/>
      <c r="D86" s="514"/>
      <c r="E86" s="514"/>
      <c r="F86" s="577"/>
    </row>
    <row r="87" spans="1:6" s="504" customFormat="1">
      <c r="A87" s="800" t="s">
        <v>260</v>
      </c>
      <c r="B87" s="801" t="s">
        <v>13</v>
      </c>
      <c r="C87" s="802" t="s">
        <v>330</v>
      </c>
      <c r="D87" s="803" t="s">
        <v>331</v>
      </c>
      <c r="E87" s="804"/>
      <c r="F87" s="805"/>
    </row>
    <row r="88" spans="1:6" s="150" customFormat="1">
      <c r="A88" s="1214"/>
      <c r="B88" s="1215" t="s">
        <v>1706</v>
      </c>
      <c r="C88" s="1216"/>
      <c r="D88" s="1216"/>
      <c r="E88" s="1217"/>
      <c r="F88" s="1218"/>
    </row>
    <row r="89" spans="1:6" s="504" customFormat="1" ht="31.2">
      <c r="A89" s="418" t="s">
        <v>660</v>
      </c>
      <c r="B89" s="173" t="s">
        <v>709</v>
      </c>
      <c r="C89" s="180" t="s">
        <v>305</v>
      </c>
      <c r="D89" s="180">
        <v>8</v>
      </c>
      <c r="E89" s="180"/>
      <c r="F89" s="179"/>
    </row>
    <row r="90" spans="1:6" s="504" customFormat="1" ht="31.2">
      <c r="A90" s="418" t="s">
        <v>661</v>
      </c>
      <c r="B90" s="173" t="s">
        <v>614</v>
      </c>
      <c r="C90" s="180" t="s">
        <v>9</v>
      </c>
      <c r="D90" s="180">
        <f>CEILING(5.1*D89,1)</f>
        <v>41</v>
      </c>
      <c r="E90" s="180"/>
      <c r="F90" s="179"/>
    </row>
    <row r="91" spans="1:6" s="504" customFormat="1" ht="15.6">
      <c r="A91" s="418" t="s">
        <v>662</v>
      </c>
      <c r="B91" s="173" t="s">
        <v>615</v>
      </c>
      <c r="C91" s="180" t="s">
        <v>9</v>
      </c>
      <c r="D91" s="180">
        <f>D90*2</f>
        <v>82</v>
      </c>
      <c r="E91" s="180"/>
      <c r="F91" s="179"/>
    </row>
    <row r="92" spans="1:6" s="504" customFormat="1" ht="15.6">
      <c r="A92" s="418" t="s">
        <v>1003</v>
      </c>
      <c r="B92" s="173" t="s">
        <v>616</v>
      </c>
      <c r="C92" s="180" t="s">
        <v>9</v>
      </c>
      <c r="D92" s="180">
        <f>D91</f>
        <v>82</v>
      </c>
      <c r="E92" s="180"/>
      <c r="F92" s="179"/>
    </row>
    <row r="93" spans="1:6" s="504" customFormat="1" ht="15.6">
      <c r="A93" s="418" t="s">
        <v>11</v>
      </c>
      <c r="B93" s="177" t="s">
        <v>617</v>
      </c>
      <c r="C93" s="180" t="s">
        <v>11</v>
      </c>
      <c r="D93" s="180" t="s">
        <v>11</v>
      </c>
      <c r="E93" s="180"/>
      <c r="F93" s="179"/>
    </row>
    <row r="94" spans="1:6" s="504" customFormat="1" ht="31.2">
      <c r="A94" s="418" t="s">
        <v>1004</v>
      </c>
      <c r="B94" s="173" t="s">
        <v>618</v>
      </c>
      <c r="C94" s="180" t="s">
        <v>11</v>
      </c>
      <c r="D94" s="180" t="s">
        <v>11</v>
      </c>
      <c r="E94" s="180"/>
      <c r="F94" s="179"/>
    </row>
    <row r="95" spans="1:6" s="504" customFormat="1" ht="15.6">
      <c r="A95" s="418" t="s">
        <v>663</v>
      </c>
      <c r="B95" s="173" t="s">
        <v>619</v>
      </c>
      <c r="C95" s="180" t="s">
        <v>305</v>
      </c>
      <c r="D95" s="180">
        <f>SUM(D89:D89)</f>
        <v>8</v>
      </c>
      <c r="E95" s="180"/>
      <c r="F95" s="179"/>
    </row>
    <row r="96" spans="1:6" s="504" customFormat="1" ht="15.6">
      <c r="A96" s="434" t="s">
        <v>664</v>
      </c>
      <c r="B96" s="435" t="s">
        <v>620</v>
      </c>
      <c r="C96" s="436" t="s">
        <v>621</v>
      </c>
      <c r="D96" s="436">
        <f>CEILING(D89*3/2,1)</f>
        <v>12</v>
      </c>
      <c r="E96" s="436"/>
      <c r="F96" s="437"/>
    </row>
    <row r="97" spans="1:6" s="504" customFormat="1" ht="15.6">
      <c r="A97" s="418" t="s">
        <v>665</v>
      </c>
      <c r="B97" s="173" t="s">
        <v>622</v>
      </c>
      <c r="C97" s="180" t="s">
        <v>305</v>
      </c>
      <c r="D97" s="180">
        <f>D95</f>
        <v>8</v>
      </c>
      <c r="E97" s="180"/>
      <c r="F97" s="179"/>
    </row>
    <row r="98" spans="1:6" s="504" customFormat="1" ht="15.6">
      <c r="A98" s="418" t="s">
        <v>11</v>
      </c>
      <c r="B98" s="177" t="s">
        <v>623</v>
      </c>
      <c r="C98" s="180" t="s">
        <v>11</v>
      </c>
      <c r="D98" s="180" t="s">
        <v>11</v>
      </c>
      <c r="E98" s="180"/>
      <c r="F98" s="179"/>
    </row>
    <row r="99" spans="1:6" s="504" customFormat="1" ht="31.2">
      <c r="A99" s="418" t="s">
        <v>666</v>
      </c>
      <c r="B99" s="173" t="s">
        <v>624</v>
      </c>
      <c r="C99" s="180" t="s">
        <v>329</v>
      </c>
      <c r="D99" s="180" t="s">
        <v>468</v>
      </c>
      <c r="E99" s="180"/>
      <c r="F99" s="179"/>
    </row>
    <row r="100" spans="1:6" s="504" customFormat="1" ht="15.6">
      <c r="A100" s="414"/>
      <c r="B100" s="166" t="s">
        <v>670</v>
      </c>
      <c r="C100" s="167"/>
      <c r="D100" s="168"/>
      <c r="E100" s="172"/>
      <c r="F100" s="179"/>
    </row>
    <row r="101" spans="1:6" s="504" customFormat="1" ht="46.8">
      <c r="A101" s="415" t="s">
        <v>667</v>
      </c>
      <c r="B101" s="164" t="s">
        <v>625</v>
      </c>
      <c r="C101" s="163" t="s">
        <v>304</v>
      </c>
      <c r="D101" s="165">
        <v>10</v>
      </c>
      <c r="E101" s="157"/>
      <c r="F101" s="179"/>
    </row>
    <row r="102" spans="1:6" s="150" customFormat="1">
      <c r="A102" s="1214"/>
      <c r="B102" s="1215" t="s">
        <v>1702</v>
      </c>
      <c r="C102" s="1216"/>
      <c r="D102" s="1216"/>
      <c r="E102" s="1217"/>
      <c r="F102" s="1218"/>
    </row>
    <row r="103" spans="1:6" s="504" customFormat="1">
      <c r="A103" s="766"/>
      <c r="B103" s="776"/>
      <c r="C103" s="777"/>
      <c r="D103" s="778"/>
      <c r="E103" s="778"/>
      <c r="F103" s="765"/>
    </row>
    <row r="104" spans="1:6" s="504" customFormat="1">
      <c r="A104" s="779">
        <v>2.7</v>
      </c>
      <c r="B104" s="780" t="s">
        <v>1704</v>
      </c>
      <c r="C104" s="781"/>
      <c r="D104" s="782"/>
      <c r="E104" s="782"/>
      <c r="F104" s="783"/>
    </row>
    <row r="105" spans="1:6" s="504" customFormat="1" ht="43.2">
      <c r="A105" s="784" t="s">
        <v>1005</v>
      </c>
      <c r="B105" s="769" t="s">
        <v>1001</v>
      </c>
      <c r="C105" s="770" t="s">
        <v>925</v>
      </c>
      <c r="D105" s="770">
        <f>CEILING((1.2*7+1.8*4)*0.3*3,1)</f>
        <v>15</v>
      </c>
      <c r="E105" s="775"/>
      <c r="F105" s="772"/>
    </row>
    <row r="106" spans="1:6" s="504" customFormat="1">
      <c r="A106" s="766"/>
      <c r="B106" s="776"/>
      <c r="C106" s="777"/>
      <c r="D106" s="778"/>
      <c r="E106" s="778"/>
      <c r="F106" s="765"/>
    </row>
    <row r="107" spans="1:6" s="504" customFormat="1">
      <c r="A107" s="766"/>
      <c r="B107" s="776"/>
      <c r="C107" s="777"/>
      <c r="D107" s="778"/>
      <c r="E107" s="778"/>
      <c r="F107" s="765"/>
    </row>
    <row r="108" spans="1:6">
      <c r="A108" s="766"/>
      <c r="B108" s="776"/>
      <c r="C108" s="777"/>
      <c r="D108" s="778"/>
      <c r="E108" s="778"/>
      <c r="F108" s="765"/>
    </row>
    <row r="109" spans="1:6" ht="15" thickBot="1">
      <c r="A109" s="766"/>
      <c r="B109" s="761" t="s">
        <v>1002</v>
      </c>
      <c r="C109" s="763"/>
      <c r="D109" s="763"/>
      <c r="E109" s="764"/>
      <c r="F109" s="785"/>
    </row>
    <row r="110" spans="1:6">
      <c r="A110" s="786"/>
      <c r="B110" s="787"/>
      <c r="C110" s="788"/>
      <c r="D110" s="788"/>
      <c r="E110" s="789"/>
      <c r="F110" s="790"/>
    </row>
    <row r="111" spans="1:6">
      <c r="A111" s="812" t="s">
        <v>260</v>
      </c>
      <c r="B111" s="813" t="s">
        <v>13</v>
      </c>
      <c r="C111" s="814" t="s">
        <v>330</v>
      </c>
      <c r="D111" s="815" t="s">
        <v>331</v>
      </c>
      <c r="E111" s="816" t="s">
        <v>332</v>
      </c>
      <c r="F111" s="817"/>
    </row>
    <row r="112" spans="1:6" s="504" customFormat="1" ht="15.6">
      <c r="A112" s="185"/>
      <c r="B112" s="202"/>
      <c r="C112" s="195"/>
      <c r="D112" s="196"/>
      <c r="E112" s="195"/>
      <c r="F112" s="186"/>
    </row>
    <row r="113" spans="1:7" s="504" customFormat="1" ht="15.6">
      <c r="A113" s="185"/>
      <c r="B113" s="202" t="s">
        <v>1011</v>
      </c>
      <c r="C113" s="195"/>
      <c r="D113" s="196"/>
      <c r="E113" s="195"/>
      <c r="F113" s="186"/>
    </row>
    <row r="114" spans="1:7" ht="31.2">
      <c r="A114" s="185"/>
      <c r="B114" s="202" t="s">
        <v>1135</v>
      </c>
      <c r="C114" s="195"/>
      <c r="D114" s="196"/>
      <c r="E114" s="195"/>
      <c r="F114" s="186"/>
    </row>
    <row r="115" spans="1:7" ht="15.6">
      <c r="A115" s="419"/>
      <c r="B115" s="194"/>
      <c r="C115" s="187"/>
      <c r="D115" s="188"/>
      <c r="E115" s="189"/>
      <c r="F115" s="190"/>
    </row>
    <row r="116" spans="1:7" ht="15.6">
      <c r="A116" s="193"/>
      <c r="B116" s="194" t="s">
        <v>310</v>
      </c>
      <c r="C116" s="195"/>
      <c r="D116" s="196"/>
      <c r="E116" s="195"/>
      <c r="F116" s="190"/>
    </row>
    <row r="117" spans="1:7" ht="65.25" customHeight="1">
      <c r="A117" s="193"/>
      <c r="B117" s="424" t="s">
        <v>467</v>
      </c>
      <c r="C117" s="199"/>
      <c r="D117" s="196"/>
      <c r="E117" s="195"/>
      <c r="F117" s="190"/>
    </row>
    <row r="118" spans="1:7" ht="20.25" customHeight="1">
      <c r="A118" s="193" t="s">
        <v>997</v>
      </c>
      <c r="B118" s="200" t="s">
        <v>704</v>
      </c>
      <c r="C118" s="199" t="s">
        <v>10</v>
      </c>
      <c r="D118" s="196">
        <v>16</v>
      </c>
      <c r="E118" s="195"/>
      <c r="F118" s="190"/>
    </row>
    <row r="119" spans="1:7" ht="15.6">
      <c r="A119" s="193"/>
      <c r="B119" s="201" t="s">
        <v>311</v>
      </c>
      <c r="C119" s="199"/>
      <c r="D119" s="196"/>
      <c r="E119" s="195"/>
      <c r="F119" s="190"/>
    </row>
    <row r="120" spans="1:7" ht="15.6">
      <c r="A120" s="193" t="s">
        <v>998</v>
      </c>
      <c r="B120" s="200" t="s">
        <v>312</v>
      </c>
      <c r="C120" s="199" t="s">
        <v>304</v>
      </c>
      <c r="D120" s="196">
        <f>D118</f>
        <v>16</v>
      </c>
      <c r="E120" s="195"/>
      <c r="F120" s="190"/>
    </row>
    <row r="121" spans="1:7" ht="15.6">
      <c r="A121" s="193"/>
      <c r="B121" s="202" t="s">
        <v>313</v>
      </c>
      <c r="C121" s="195"/>
      <c r="D121" s="196"/>
      <c r="E121" s="195"/>
      <c r="F121" s="190"/>
    </row>
    <row r="122" spans="1:7" ht="138" customHeight="1">
      <c r="A122" s="193"/>
      <c r="B122" s="203" t="s">
        <v>631</v>
      </c>
      <c r="C122" s="199"/>
      <c r="D122" s="196"/>
      <c r="E122" s="195"/>
      <c r="F122" s="190"/>
    </row>
    <row r="123" spans="1:7" ht="15.6">
      <c r="A123" s="193"/>
      <c r="B123" s="204" t="s">
        <v>314</v>
      </c>
      <c r="C123" s="199"/>
      <c r="D123" s="196"/>
      <c r="E123" s="195"/>
      <c r="F123" s="190"/>
    </row>
    <row r="124" spans="1:7" s="155" customFormat="1" ht="15.6">
      <c r="A124" s="193" t="s">
        <v>999</v>
      </c>
      <c r="B124" s="204" t="s">
        <v>315</v>
      </c>
      <c r="C124" s="199" t="s">
        <v>304</v>
      </c>
      <c r="D124" s="196">
        <v>10</v>
      </c>
      <c r="E124" s="195"/>
      <c r="F124" s="190"/>
      <c r="G124" s="154"/>
    </row>
    <row r="125" spans="1:7" s="76" customFormat="1" ht="15.6">
      <c r="A125" s="193"/>
      <c r="B125" s="201" t="s">
        <v>316</v>
      </c>
      <c r="C125" s="195"/>
      <c r="D125" s="196"/>
      <c r="E125" s="195"/>
      <c r="F125" s="190"/>
      <c r="G125" s="75"/>
    </row>
    <row r="126" spans="1:7" s="52" customFormat="1" ht="93.75" customHeight="1">
      <c r="A126" s="193"/>
      <c r="B126" s="200" t="s">
        <v>705</v>
      </c>
      <c r="C126" s="199"/>
      <c r="D126" s="196"/>
      <c r="E126" s="195"/>
      <c r="F126" s="190"/>
      <c r="G126" s="74"/>
    </row>
    <row r="127" spans="1:7" s="52" customFormat="1" ht="15.6">
      <c r="A127" s="193" t="s">
        <v>1006</v>
      </c>
      <c r="B127" s="204" t="s">
        <v>317</v>
      </c>
      <c r="C127" s="199" t="s">
        <v>318</v>
      </c>
      <c r="D127" s="196">
        <f>80*3</f>
        <v>240</v>
      </c>
      <c r="E127" s="195"/>
      <c r="F127" s="190"/>
      <c r="G127" s="74"/>
    </row>
    <row r="128" spans="1:7" s="156" customFormat="1" ht="48" customHeight="1">
      <c r="A128" s="420"/>
      <c r="B128" s="201" t="s">
        <v>706</v>
      </c>
      <c r="C128" s="205"/>
      <c r="D128" s="196"/>
      <c r="E128" s="195"/>
      <c r="F128" s="190"/>
      <c r="G128" s="62"/>
    </row>
    <row r="129" spans="1:198" s="156" customFormat="1" ht="15.6">
      <c r="A129" s="420" t="s">
        <v>1006</v>
      </c>
      <c r="B129" s="206" t="s">
        <v>319</v>
      </c>
      <c r="C129" s="205" t="s">
        <v>320</v>
      </c>
      <c r="D129" s="196">
        <v>6</v>
      </c>
      <c r="E129" s="195"/>
      <c r="F129" s="190"/>
      <c r="G129" s="62"/>
    </row>
    <row r="130" spans="1:198" s="161" customFormat="1" ht="47.25" customHeight="1">
      <c r="A130" s="420"/>
      <c r="B130" s="207" t="s">
        <v>707</v>
      </c>
      <c r="C130" s="199"/>
      <c r="D130" s="196"/>
      <c r="E130" s="195"/>
      <c r="F130" s="190"/>
      <c r="G130" s="159"/>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0"/>
      <c r="AY130" s="160"/>
      <c r="AZ130" s="160"/>
      <c r="BA130" s="160"/>
      <c r="BB130" s="160"/>
      <c r="BC130" s="160"/>
      <c r="BD130" s="160"/>
      <c r="BE130" s="160"/>
      <c r="BF130" s="160"/>
      <c r="BG130" s="160"/>
      <c r="BH130" s="160"/>
      <c r="BI130" s="160"/>
      <c r="BJ130" s="160"/>
      <c r="BK130" s="160"/>
      <c r="BL130" s="160"/>
      <c r="BM130" s="160"/>
      <c r="BN130" s="160"/>
      <c r="BO130" s="160"/>
      <c r="BP130" s="160"/>
      <c r="BQ130" s="160"/>
      <c r="BR130" s="160"/>
      <c r="BS130" s="160"/>
      <c r="BT130" s="160"/>
      <c r="BU130" s="160"/>
      <c r="BV130" s="160"/>
      <c r="BW130" s="160"/>
      <c r="BX130" s="160"/>
      <c r="BY130" s="160"/>
      <c r="BZ130" s="160"/>
      <c r="CA130" s="160"/>
      <c r="CB130" s="160"/>
      <c r="CC130" s="160"/>
      <c r="CD130" s="160"/>
      <c r="CE130" s="160"/>
      <c r="CF130" s="160"/>
      <c r="CG130" s="160"/>
      <c r="CH130" s="160"/>
      <c r="CI130" s="160"/>
      <c r="CJ130" s="160"/>
      <c r="CK130" s="160"/>
      <c r="CL130" s="160"/>
      <c r="CM130" s="160"/>
      <c r="CN130" s="160"/>
      <c r="CO130" s="160"/>
      <c r="CP130" s="160"/>
      <c r="CQ130" s="160"/>
      <c r="CR130" s="160"/>
      <c r="CS130" s="160"/>
      <c r="CT130" s="160"/>
      <c r="CU130" s="160"/>
      <c r="CV130" s="160"/>
      <c r="CW130" s="160"/>
      <c r="CX130" s="160"/>
      <c r="CY130" s="160"/>
      <c r="CZ130" s="160"/>
      <c r="DA130" s="160"/>
      <c r="DB130" s="160"/>
      <c r="DC130" s="160"/>
      <c r="DD130" s="160"/>
      <c r="DE130" s="160"/>
      <c r="DF130" s="160"/>
      <c r="DG130" s="160"/>
      <c r="DH130" s="160"/>
      <c r="DI130" s="160"/>
      <c r="DJ130" s="160"/>
      <c r="DK130" s="160"/>
      <c r="DL130" s="160"/>
      <c r="DM130" s="160"/>
      <c r="DN130" s="160"/>
      <c r="DO130" s="160"/>
      <c r="DP130" s="160"/>
      <c r="DQ130" s="160"/>
      <c r="DR130" s="160"/>
      <c r="DS130" s="160"/>
      <c r="DT130" s="160"/>
      <c r="DU130" s="160"/>
      <c r="DV130" s="160"/>
      <c r="DW130" s="160"/>
      <c r="DX130" s="160"/>
      <c r="DY130" s="160"/>
      <c r="DZ130" s="160"/>
      <c r="EA130" s="160"/>
      <c r="EB130" s="160"/>
      <c r="EC130" s="160"/>
      <c r="ED130" s="160"/>
      <c r="EE130" s="160"/>
      <c r="EF130" s="160"/>
      <c r="EG130" s="160"/>
      <c r="EH130" s="160"/>
      <c r="EI130" s="160"/>
      <c r="EJ130" s="160"/>
      <c r="EK130" s="160"/>
      <c r="EL130" s="160"/>
      <c r="EM130" s="160"/>
      <c r="EN130" s="160"/>
      <c r="EO130" s="160"/>
      <c r="EP130" s="160"/>
      <c r="EQ130" s="160"/>
      <c r="ER130" s="160"/>
      <c r="ES130" s="160"/>
      <c r="ET130" s="160"/>
      <c r="EU130" s="160"/>
      <c r="EV130" s="160"/>
      <c r="EW130" s="160"/>
      <c r="EX130" s="160"/>
      <c r="EY130" s="160"/>
      <c r="EZ130" s="160"/>
      <c r="FA130" s="160"/>
      <c r="FB130" s="160"/>
      <c r="FC130" s="160"/>
      <c r="FD130" s="160"/>
      <c r="FE130" s="160"/>
      <c r="FF130" s="160"/>
      <c r="FG130" s="160"/>
      <c r="FH130" s="160"/>
      <c r="FI130" s="160"/>
      <c r="FJ130" s="160"/>
      <c r="FK130" s="160"/>
      <c r="FL130" s="160"/>
      <c r="FM130" s="160"/>
      <c r="FN130" s="160"/>
      <c r="FO130" s="160"/>
      <c r="FP130" s="160"/>
      <c r="FQ130" s="160"/>
      <c r="FR130" s="160"/>
      <c r="FS130" s="160"/>
      <c r="FT130" s="160"/>
      <c r="FU130" s="160"/>
      <c r="FV130" s="160"/>
      <c r="FW130" s="160"/>
      <c r="FX130" s="160"/>
      <c r="FY130" s="160"/>
      <c r="FZ130" s="160"/>
      <c r="GA130" s="160"/>
      <c r="GB130" s="160"/>
      <c r="GC130" s="160"/>
      <c r="GD130" s="160"/>
      <c r="GE130" s="160"/>
      <c r="GF130" s="160"/>
      <c r="GG130" s="160"/>
      <c r="GH130" s="160"/>
      <c r="GI130" s="160"/>
      <c r="GJ130" s="160"/>
      <c r="GK130" s="160"/>
      <c r="GL130" s="160"/>
      <c r="GM130" s="160"/>
      <c r="GN130" s="160"/>
      <c r="GO130" s="160"/>
      <c r="GP130" s="160"/>
    </row>
    <row r="131" spans="1:198" s="161" customFormat="1" ht="95.25" customHeight="1">
      <c r="A131" s="420" t="s">
        <v>1007</v>
      </c>
      <c r="B131" s="206" t="s">
        <v>632</v>
      </c>
      <c r="C131" s="205" t="s">
        <v>633</v>
      </c>
      <c r="D131" s="196">
        <v>2</v>
      </c>
      <c r="E131" s="195"/>
      <c r="F131" s="190"/>
      <c r="G131" s="159"/>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0"/>
      <c r="BC131" s="160"/>
      <c r="BD131" s="160"/>
      <c r="BE131" s="160"/>
      <c r="BF131" s="160"/>
      <c r="BG131" s="160"/>
      <c r="BH131" s="160"/>
      <c r="BI131" s="160"/>
      <c r="BJ131" s="160"/>
      <c r="BK131" s="160"/>
      <c r="BL131" s="160"/>
      <c r="BM131" s="160"/>
      <c r="BN131" s="160"/>
      <c r="BO131" s="160"/>
      <c r="BP131" s="160"/>
      <c r="BQ131" s="160"/>
      <c r="BR131" s="160"/>
      <c r="BS131" s="160"/>
      <c r="BT131" s="160"/>
      <c r="BU131" s="160"/>
      <c r="BV131" s="160"/>
      <c r="BW131" s="160"/>
      <c r="BX131" s="160"/>
      <c r="BY131" s="160"/>
      <c r="BZ131" s="160"/>
      <c r="CA131" s="160"/>
      <c r="CB131" s="160"/>
      <c r="CC131" s="160"/>
      <c r="CD131" s="160"/>
      <c r="CE131" s="160"/>
      <c r="CF131" s="160"/>
      <c r="CG131" s="160"/>
      <c r="CH131" s="160"/>
      <c r="CI131" s="160"/>
      <c r="CJ131" s="160"/>
      <c r="CK131" s="160"/>
      <c r="CL131" s="160"/>
      <c r="CM131" s="160"/>
      <c r="CN131" s="160"/>
      <c r="CO131" s="160"/>
      <c r="CP131" s="160"/>
      <c r="CQ131" s="160"/>
      <c r="CR131" s="160"/>
      <c r="CS131" s="160"/>
      <c r="CT131" s="160"/>
      <c r="CU131" s="160"/>
      <c r="CV131" s="160"/>
      <c r="CW131" s="160"/>
      <c r="CX131" s="160"/>
      <c r="CY131" s="160"/>
      <c r="CZ131" s="160"/>
      <c r="DA131" s="160"/>
      <c r="DB131" s="160"/>
      <c r="DC131" s="160"/>
      <c r="DD131" s="160"/>
      <c r="DE131" s="160"/>
      <c r="DF131" s="160"/>
      <c r="DG131" s="160"/>
      <c r="DH131" s="160"/>
      <c r="DI131" s="160"/>
      <c r="DJ131" s="160"/>
      <c r="DK131" s="160"/>
      <c r="DL131" s="160"/>
      <c r="DM131" s="160"/>
      <c r="DN131" s="160"/>
      <c r="DO131" s="160"/>
      <c r="DP131" s="160"/>
      <c r="DQ131" s="160"/>
      <c r="DR131" s="160"/>
      <c r="DS131" s="160"/>
      <c r="DT131" s="160"/>
      <c r="DU131" s="160"/>
      <c r="DV131" s="160"/>
      <c r="DW131" s="160"/>
      <c r="DX131" s="160"/>
      <c r="DY131" s="160"/>
      <c r="DZ131" s="160"/>
      <c r="EA131" s="160"/>
      <c r="EB131" s="160"/>
      <c r="EC131" s="160"/>
      <c r="ED131" s="160"/>
      <c r="EE131" s="160"/>
      <c r="EF131" s="160"/>
      <c r="EG131" s="160"/>
      <c r="EH131" s="160"/>
      <c r="EI131" s="160"/>
      <c r="EJ131" s="160"/>
      <c r="EK131" s="160"/>
      <c r="EL131" s="160"/>
      <c r="EM131" s="160"/>
      <c r="EN131" s="160"/>
      <c r="EO131" s="160"/>
      <c r="EP131" s="160"/>
      <c r="EQ131" s="160"/>
      <c r="ER131" s="160"/>
      <c r="ES131" s="160"/>
      <c r="ET131" s="160"/>
      <c r="EU131" s="160"/>
      <c r="EV131" s="160"/>
      <c r="EW131" s="160"/>
      <c r="EX131" s="160"/>
      <c r="EY131" s="160"/>
      <c r="EZ131" s="160"/>
      <c r="FA131" s="160"/>
      <c r="FB131" s="160"/>
      <c r="FC131" s="160"/>
      <c r="FD131" s="160"/>
      <c r="FE131" s="160"/>
      <c r="FF131" s="160"/>
      <c r="FG131" s="160"/>
      <c r="FH131" s="160"/>
      <c r="FI131" s="160"/>
      <c r="FJ131" s="160"/>
      <c r="FK131" s="160"/>
      <c r="FL131" s="160"/>
      <c r="FM131" s="160"/>
      <c r="FN131" s="160"/>
      <c r="FO131" s="160"/>
      <c r="FP131" s="160"/>
      <c r="FQ131" s="160"/>
      <c r="FR131" s="160"/>
      <c r="FS131" s="160"/>
      <c r="FT131" s="160"/>
      <c r="FU131" s="160"/>
      <c r="FV131" s="160"/>
      <c r="FW131" s="160"/>
      <c r="FX131" s="160"/>
      <c r="FY131" s="160"/>
      <c r="FZ131" s="160"/>
      <c r="GA131" s="160"/>
      <c r="GB131" s="160"/>
      <c r="GC131" s="160"/>
      <c r="GD131" s="160"/>
      <c r="GE131" s="160"/>
      <c r="GF131" s="160"/>
      <c r="GG131" s="160"/>
      <c r="GH131" s="160"/>
      <c r="GI131" s="160"/>
      <c r="GJ131" s="160"/>
      <c r="GK131" s="160"/>
      <c r="GL131" s="160"/>
      <c r="GM131" s="160"/>
      <c r="GN131" s="160"/>
      <c r="GO131" s="160"/>
      <c r="GP131" s="160"/>
    </row>
    <row r="132" spans="1:198" s="161" customFormat="1" ht="15.6">
      <c r="A132" s="794"/>
      <c r="B132" s="795"/>
      <c r="C132" s="796"/>
      <c r="D132" s="797"/>
      <c r="E132" s="798"/>
      <c r="F132" s="799"/>
      <c r="G132" s="159"/>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c r="AX132" s="160"/>
      <c r="AY132" s="160"/>
      <c r="AZ132" s="160"/>
      <c r="BA132" s="160"/>
      <c r="BB132" s="160"/>
      <c r="BC132" s="160"/>
      <c r="BD132" s="160"/>
      <c r="BE132" s="160"/>
      <c r="BF132" s="160"/>
      <c r="BG132" s="160"/>
      <c r="BH132" s="160"/>
      <c r="BI132" s="160"/>
      <c r="BJ132" s="160"/>
      <c r="BK132" s="160"/>
      <c r="BL132" s="160"/>
      <c r="BM132" s="160"/>
      <c r="BN132" s="160"/>
      <c r="BO132" s="160"/>
      <c r="BP132" s="160"/>
      <c r="BQ132" s="160"/>
      <c r="BR132" s="160"/>
      <c r="BS132" s="160"/>
      <c r="BT132" s="160"/>
      <c r="BU132" s="160"/>
      <c r="BV132" s="160"/>
      <c r="BW132" s="160"/>
      <c r="BX132" s="160"/>
      <c r="BY132" s="160"/>
      <c r="BZ132" s="160"/>
      <c r="CA132" s="160"/>
      <c r="CB132" s="160"/>
      <c r="CC132" s="160"/>
      <c r="CD132" s="160"/>
      <c r="CE132" s="160"/>
      <c r="CF132" s="160"/>
      <c r="CG132" s="160"/>
      <c r="CH132" s="160"/>
      <c r="CI132" s="160"/>
      <c r="CJ132" s="160"/>
      <c r="CK132" s="160"/>
      <c r="CL132" s="160"/>
      <c r="CM132" s="160"/>
      <c r="CN132" s="160"/>
      <c r="CO132" s="160"/>
      <c r="CP132" s="160"/>
      <c r="CQ132" s="160"/>
      <c r="CR132" s="160"/>
      <c r="CS132" s="160"/>
      <c r="CT132" s="160"/>
      <c r="CU132" s="160"/>
      <c r="CV132" s="160"/>
      <c r="CW132" s="160"/>
      <c r="CX132" s="160"/>
      <c r="CY132" s="160"/>
      <c r="CZ132" s="160"/>
      <c r="DA132" s="160"/>
      <c r="DB132" s="160"/>
      <c r="DC132" s="160"/>
      <c r="DD132" s="160"/>
      <c r="DE132" s="160"/>
      <c r="DF132" s="160"/>
      <c r="DG132" s="160"/>
      <c r="DH132" s="160"/>
      <c r="DI132" s="160"/>
      <c r="DJ132" s="160"/>
      <c r="DK132" s="160"/>
      <c r="DL132" s="160"/>
      <c r="DM132" s="160"/>
      <c r="DN132" s="160"/>
      <c r="DO132" s="160"/>
      <c r="DP132" s="160"/>
      <c r="DQ132" s="160"/>
      <c r="DR132" s="160"/>
      <c r="DS132" s="160"/>
      <c r="DT132" s="160"/>
      <c r="DU132" s="160"/>
      <c r="DV132" s="160"/>
      <c r="DW132" s="160"/>
      <c r="DX132" s="160"/>
      <c r="DY132" s="160"/>
      <c r="DZ132" s="160"/>
      <c r="EA132" s="160"/>
      <c r="EB132" s="160"/>
      <c r="EC132" s="160"/>
      <c r="ED132" s="160"/>
      <c r="EE132" s="160"/>
      <c r="EF132" s="160"/>
      <c r="EG132" s="160"/>
      <c r="EH132" s="160"/>
      <c r="EI132" s="160"/>
      <c r="EJ132" s="160"/>
      <c r="EK132" s="160"/>
      <c r="EL132" s="160"/>
      <c r="EM132" s="160"/>
      <c r="EN132" s="160"/>
      <c r="EO132" s="160"/>
      <c r="EP132" s="160"/>
      <c r="EQ132" s="160"/>
      <c r="ER132" s="160"/>
      <c r="ES132" s="160"/>
      <c r="ET132" s="160"/>
      <c r="EU132" s="160"/>
      <c r="EV132" s="160"/>
      <c r="EW132" s="160"/>
      <c r="EX132" s="160"/>
      <c r="EY132" s="160"/>
      <c r="EZ132" s="160"/>
      <c r="FA132" s="160"/>
      <c r="FB132" s="160"/>
      <c r="FC132" s="160"/>
      <c r="FD132" s="160"/>
      <c r="FE132" s="160"/>
      <c r="FF132" s="160"/>
      <c r="FG132" s="160"/>
      <c r="FH132" s="160"/>
      <c r="FI132" s="160"/>
      <c r="FJ132" s="160"/>
      <c r="FK132" s="160"/>
      <c r="FL132" s="160"/>
      <c r="FM132" s="160"/>
      <c r="FN132" s="160"/>
      <c r="FO132" s="160"/>
      <c r="FP132" s="160"/>
      <c r="FQ132" s="160"/>
      <c r="FR132" s="160"/>
      <c r="FS132" s="160"/>
      <c r="FT132" s="160"/>
      <c r="FU132" s="160"/>
      <c r="FV132" s="160"/>
      <c r="FW132" s="160"/>
      <c r="FX132" s="160"/>
      <c r="FY132" s="160"/>
      <c r="FZ132" s="160"/>
      <c r="GA132" s="160"/>
      <c r="GB132" s="160"/>
      <c r="GC132" s="160"/>
      <c r="GD132" s="160"/>
      <c r="GE132" s="160"/>
      <c r="GF132" s="160"/>
      <c r="GG132" s="160"/>
      <c r="GH132" s="160"/>
      <c r="GI132" s="160"/>
      <c r="GJ132" s="160"/>
      <c r="GK132" s="160"/>
      <c r="GL132" s="160"/>
      <c r="GM132" s="160"/>
      <c r="GN132" s="160"/>
      <c r="GO132" s="160"/>
      <c r="GP132" s="160"/>
    </row>
    <row r="133" spans="1:198" s="161" customFormat="1" ht="15.6">
      <c r="A133" s="419"/>
      <c r="B133" s="211" t="s">
        <v>1009</v>
      </c>
      <c r="C133" s="208"/>
      <c r="D133" s="209"/>
      <c r="E133" s="210"/>
      <c r="F133" s="186"/>
      <c r="G133" s="159"/>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row>
    <row r="134" spans="1:198" s="161" customFormat="1" ht="62.4">
      <c r="A134" s="420" t="s">
        <v>1008</v>
      </c>
      <c r="B134" s="206" t="s">
        <v>1703</v>
      </c>
      <c r="C134" s="205" t="s">
        <v>329</v>
      </c>
      <c r="D134" s="196" t="s">
        <v>468</v>
      </c>
      <c r="E134" s="195"/>
      <c r="F134" s="190"/>
      <c r="G134" s="159"/>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row>
    <row r="135" spans="1:198" s="161" customFormat="1" ht="16.2" thickBot="1">
      <c r="A135" s="419"/>
      <c r="B135" s="761" t="s">
        <v>1002</v>
      </c>
      <c r="C135" s="208"/>
      <c r="D135" s="209"/>
      <c r="E135" s="210"/>
      <c r="F135" s="785"/>
      <c r="G135" s="159"/>
      <c r="H135" s="160"/>
      <c r="I135" s="160"/>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row>
    <row r="136" spans="1:198" s="161" customFormat="1" ht="15.6">
      <c r="A136" s="819"/>
      <c r="B136" s="761"/>
      <c r="C136" s="820"/>
      <c r="D136" s="821"/>
      <c r="E136" s="822"/>
      <c r="F136" s="823"/>
      <c r="G136" s="159"/>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row>
    <row r="137" spans="1:198" s="161" customFormat="1" ht="15.6">
      <c r="A137" s="421"/>
      <c r="B137" s="212" t="s">
        <v>1012</v>
      </c>
      <c r="C137" s="213"/>
      <c r="D137" s="214"/>
      <c r="E137" s="215"/>
      <c r="F137" s="216"/>
      <c r="G137" s="159"/>
      <c r="H137" s="160"/>
      <c r="I137" s="160"/>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row>
    <row r="138" spans="1:198" s="161" customFormat="1" ht="15.6">
      <c r="A138" s="422">
        <v>2.5</v>
      </c>
      <c r="B138" s="212" t="s">
        <v>1705</v>
      </c>
      <c r="C138" s="213"/>
      <c r="D138" s="214"/>
      <c r="E138" s="215"/>
      <c r="F138" s="216"/>
      <c r="G138" s="159"/>
      <c r="H138" s="160"/>
      <c r="I138" s="160"/>
      <c r="J138" s="160"/>
      <c r="K138" s="160"/>
      <c r="L138" s="160"/>
      <c r="M138" s="160"/>
      <c r="N138" s="160"/>
      <c r="O138" s="160"/>
      <c r="P138" s="160"/>
      <c r="Q138" s="160"/>
      <c r="R138" s="160"/>
      <c r="S138" s="160"/>
      <c r="T138" s="160"/>
      <c r="U138" s="160"/>
      <c r="V138" s="160"/>
      <c r="W138" s="160"/>
      <c r="X138" s="160"/>
      <c r="Y138" s="160"/>
      <c r="Z138" s="160"/>
      <c r="AA138" s="160"/>
      <c r="AB138" s="160"/>
      <c r="AC138" s="160"/>
      <c r="AD138" s="160"/>
      <c r="AE138" s="160"/>
      <c r="AF138" s="160"/>
      <c r="AG138" s="160"/>
      <c r="AH138" s="160"/>
      <c r="AI138" s="160"/>
      <c r="AJ138" s="160"/>
      <c r="AK138" s="160"/>
      <c r="AL138" s="160"/>
      <c r="AM138" s="160"/>
      <c r="AN138" s="160"/>
      <c r="AO138" s="160"/>
      <c r="AP138" s="160"/>
      <c r="AQ138" s="160"/>
      <c r="AR138" s="160"/>
      <c r="AS138" s="160"/>
      <c r="AT138" s="160"/>
      <c r="AU138" s="160"/>
      <c r="AV138" s="160"/>
      <c r="AW138" s="160"/>
      <c r="AX138" s="160"/>
      <c r="AY138" s="160"/>
      <c r="AZ138" s="160"/>
      <c r="BA138" s="160"/>
      <c r="BB138" s="160"/>
      <c r="BC138" s="160"/>
      <c r="BD138" s="160"/>
      <c r="BE138" s="160"/>
      <c r="BF138" s="160"/>
      <c r="BG138" s="160"/>
      <c r="BH138" s="160"/>
      <c r="BI138" s="160"/>
      <c r="BJ138" s="160"/>
      <c r="BK138" s="160"/>
      <c r="BL138" s="160"/>
      <c r="BM138" s="160"/>
      <c r="BN138" s="160"/>
      <c r="BO138" s="160"/>
      <c r="BP138" s="160"/>
      <c r="BQ138" s="160"/>
      <c r="BR138" s="160"/>
      <c r="BS138" s="160"/>
      <c r="BT138" s="160"/>
      <c r="BU138" s="160"/>
      <c r="BV138" s="160"/>
      <c r="BW138" s="160"/>
      <c r="BX138" s="160"/>
      <c r="BY138" s="160"/>
      <c r="BZ138" s="160"/>
      <c r="CA138" s="160"/>
      <c r="CB138" s="160"/>
      <c r="CC138" s="160"/>
      <c r="CD138" s="160"/>
      <c r="CE138" s="160"/>
      <c r="CF138" s="160"/>
      <c r="CG138" s="160"/>
      <c r="CH138" s="160"/>
      <c r="CI138" s="160"/>
      <c r="CJ138" s="160"/>
      <c r="CK138" s="160"/>
      <c r="CL138" s="160"/>
      <c r="CM138" s="160"/>
      <c r="CN138" s="160"/>
      <c r="CO138" s="160"/>
      <c r="CP138" s="160"/>
      <c r="CQ138" s="160"/>
      <c r="CR138" s="160"/>
      <c r="CS138" s="160"/>
      <c r="CT138" s="160"/>
      <c r="CU138" s="160"/>
      <c r="CV138" s="160"/>
      <c r="CW138" s="160"/>
      <c r="CX138" s="160"/>
      <c r="CY138" s="160"/>
      <c r="CZ138" s="160"/>
      <c r="DA138" s="160"/>
      <c r="DB138" s="160"/>
      <c r="DC138" s="160"/>
      <c r="DD138" s="160"/>
      <c r="DE138" s="160"/>
      <c r="DF138" s="160"/>
      <c r="DG138" s="160"/>
      <c r="DH138" s="160"/>
      <c r="DI138" s="160"/>
      <c r="DJ138" s="160"/>
      <c r="DK138" s="160"/>
      <c r="DL138" s="160"/>
      <c r="DM138" s="160"/>
      <c r="DN138" s="160"/>
      <c r="DO138" s="160"/>
      <c r="DP138" s="160"/>
      <c r="DQ138" s="160"/>
      <c r="DR138" s="160"/>
      <c r="DS138" s="160"/>
      <c r="DT138" s="160"/>
      <c r="DU138" s="160"/>
      <c r="DV138" s="160"/>
      <c r="DW138" s="160"/>
      <c r="DX138" s="160"/>
      <c r="DY138" s="160"/>
      <c r="DZ138" s="160"/>
      <c r="EA138" s="160"/>
      <c r="EB138" s="160"/>
      <c r="EC138" s="160"/>
      <c r="ED138" s="160"/>
      <c r="EE138" s="160"/>
      <c r="EF138" s="160"/>
      <c r="EG138" s="160"/>
      <c r="EH138" s="160"/>
      <c r="EI138" s="160"/>
      <c r="EJ138" s="160"/>
      <c r="EK138" s="160"/>
      <c r="EL138" s="160"/>
      <c r="EM138" s="160"/>
      <c r="EN138" s="160"/>
      <c r="EO138" s="160"/>
      <c r="EP138" s="160"/>
      <c r="EQ138" s="160"/>
      <c r="ER138" s="160"/>
      <c r="ES138" s="160"/>
      <c r="ET138" s="160"/>
      <c r="EU138" s="160"/>
      <c r="EV138" s="160"/>
      <c r="EW138" s="160"/>
      <c r="EX138" s="160"/>
      <c r="EY138" s="160"/>
      <c r="EZ138" s="160"/>
      <c r="FA138" s="160"/>
      <c r="FB138" s="160"/>
      <c r="FC138" s="160"/>
      <c r="FD138" s="160"/>
      <c r="FE138" s="160"/>
      <c r="FF138" s="160"/>
      <c r="FG138" s="160"/>
      <c r="FH138" s="160"/>
      <c r="FI138" s="160"/>
      <c r="FJ138" s="160"/>
      <c r="FK138" s="160"/>
      <c r="FL138" s="160"/>
      <c r="FM138" s="160"/>
      <c r="FN138" s="160"/>
      <c r="FO138" s="160"/>
      <c r="FP138" s="160"/>
      <c r="FQ138" s="160"/>
      <c r="FR138" s="160"/>
      <c r="FS138" s="160"/>
      <c r="FT138" s="160"/>
      <c r="FU138" s="160"/>
      <c r="FV138" s="160"/>
      <c r="FW138" s="160"/>
      <c r="FX138" s="160"/>
      <c r="FY138" s="160"/>
      <c r="FZ138" s="160"/>
      <c r="GA138" s="160"/>
      <c r="GB138" s="160"/>
      <c r="GC138" s="160"/>
      <c r="GD138" s="160"/>
      <c r="GE138" s="160"/>
      <c r="GF138" s="160"/>
      <c r="GG138" s="160"/>
      <c r="GH138" s="160"/>
      <c r="GI138" s="160"/>
      <c r="GJ138" s="160"/>
      <c r="GK138" s="160"/>
      <c r="GL138" s="160"/>
      <c r="GM138" s="160"/>
      <c r="GN138" s="160"/>
      <c r="GO138" s="160"/>
      <c r="GP138" s="160"/>
    </row>
    <row r="139" spans="1:198" ht="28.8">
      <c r="A139" s="421" t="s">
        <v>1000</v>
      </c>
      <c r="B139" s="217" t="s">
        <v>486</v>
      </c>
      <c r="C139" s="213" t="s">
        <v>329</v>
      </c>
      <c r="D139" s="214" t="s">
        <v>468</v>
      </c>
      <c r="E139" s="215"/>
      <c r="F139" s="190"/>
    </row>
    <row r="140" spans="1:198" ht="15" thickBot="1">
      <c r="A140" s="422"/>
      <c r="B140" s="761" t="s">
        <v>1002</v>
      </c>
      <c r="C140" s="219"/>
      <c r="D140" s="220"/>
      <c r="E140" s="221"/>
      <c r="F140" s="785"/>
    </row>
    <row r="141" spans="1:198">
      <c r="A141" s="421"/>
      <c r="B141" s="217"/>
      <c r="C141" s="213"/>
      <c r="D141" s="214"/>
      <c r="E141" s="215"/>
      <c r="F141" s="216"/>
    </row>
    <row r="142" spans="1:198">
      <c r="A142" s="421"/>
      <c r="B142" s="225"/>
      <c r="C142" s="225"/>
      <c r="D142" s="225"/>
      <c r="E142" s="225"/>
      <c r="F142" s="226"/>
    </row>
    <row r="143" spans="1:198">
      <c r="A143" s="421"/>
      <c r="B143" s="227" t="s">
        <v>669</v>
      </c>
      <c r="C143" s="225"/>
      <c r="D143" s="225"/>
      <c r="E143" s="225"/>
      <c r="F143" s="226"/>
    </row>
    <row r="144" spans="1:198">
      <c r="A144" s="421"/>
      <c r="B144" s="225"/>
      <c r="C144" s="225"/>
      <c r="D144" s="225"/>
      <c r="E144" s="225"/>
      <c r="F144" s="226"/>
    </row>
    <row r="145" spans="1:6">
      <c r="A145" s="421">
        <v>1</v>
      </c>
      <c r="B145" s="225" t="str">
        <f>B7</f>
        <v>ELEMENT NO. 1 : DEMOLITIONS</v>
      </c>
      <c r="C145" s="225"/>
      <c r="D145" s="225"/>
      <c r="E145" s="225"/>
      <c r="F145" s="226"/>
    </row>
    <row r="146" spans="1:6">
      <c r="A146" s="421"/>
      <c r="B146" s="225"/>
      <c r="C146" s="225"/>
      <c r="D146" s="225"/>
      <c r="E146" s="225"/>
      <c r="F146" s="226"/>
    </row>
    <row r="147" spans="1:6">
      <c r="A147" s="421">
        <v>2</v>
      </c>
      <c r="B147" s="818" t="str">
        <f>B12</f>
        <v>ELEMENT NO. 2 : SUBSTRUCTURE - PROVISIONAL (at the entarance verrander only)</v>
      </c>
      <c r="C147" s="225"/>
      <c r="D147" s="225"/>
      <c r="E147" s="225"/>
      <c r="F147" s="226"/>
    </row>
    <row r="148" spans="1:6">
      <c r="A148" s="421"/>
      <c r="B148" s="225"/>
      <c r="C148" s="225"/>
      <c r="D148" s="225"/>
      <c r="E148" s="225"/>
      <c r="F148" s="226"/>
    </row>
    <row r="149" spans="1:6">
      <c r="A149" s="421">
        <v>3</v>
      </c>
      <c r="B149" s="425" t="str">
        <f>B38</f>
        <v>ELEMENT NO. 3 - RENOVATION</v>
      </c>
      <c r="C149" s="225"/>
      <c r="D149" s="225"/>
      <c r="E149" s="225"/>
      <c r="F149" s="226"/>
    </row>
    <row r="150" spans="1:6">
      <c r="A150" s="421"/>
      <c r="B150" s="225"/>
      <c r="C150" s="225"/>
      <c r="D150" s="225"/>
      <c r="E150" s="225"/>
      <c r="F150" s="226"/>
    </row>
    <row r="151" spans="1:6">
      <c r="A151" s="421">
        <v>4</v>
      </c>
      <c r="B151" s="225" t="str">
        <f>B45</f>
        <v>ELEMENT NO. 2: SUPER STRUCTURE CONCRETE</v>
      </c>
      <c r="C151" s="225"/>
      <c r="D151" s="225"/>
      <c r="E151" s="225"/>
      <c r="F151" s="226"/>
    </row>
    <row r="152" spans="1:6" s="504" customFormat="1">
      <c r="A152" s="1045"/>
      <c r="B152" s="1060"/>
      <c r="C152" s="1060"/>
      <c r="D152" s="1060"/>
      <c r="E152" s="1060"/>
      <c r="F152" s="1101"/>
    </row>
    <row r="153" spans="1:6" s="504" customFormat="1">
      <c r="A153" s="1045">
        <v>5</v>
      </c>
      <c r="B153" s="1060" t="str">
        <f>B60</f>
        <v>ELEMENT 5: ROOF</v>
      </c>
      <c r="C153" s="1060"/>
      <c r="D153" s="1060"/>
      <c r="E153" s="1060"/>
      <c r="F153" s="1101"/>
    </row>
    <row r="154" spans="1:6" s="504" customFormat="1">
      <c r="A154" s="1045"/>
      <c r="B154" s="1060"/>
      <c r="C154" s="1060"/>
      <c r="D154" s="1060"/>
      <c r="E154" s="1060"/>
      <c r="F154" s="1101"/>
    </row>
    <row r="155" spans="1:6" s="504" customFormat="1">
      <c r="A155" s="1045">
        <v>6</v>
      </c>
      <c r="B155" s="1060" t="str">
        <f>B88</f>
        <v>ELEMENT 6: DOORS AND WINDOWS</v>
      </c>
      <c r="C155" s="1060"/>
      <c r="D155" s="1060"/>
      <c r="E155" s="1060"/>
      <c r="F155" s="1101"/>
    </row>
    <row r="156" spans="1:6" s="504" customFormat="1">
      <c r="A156" s="1045"/>
      <c r="B156" s="1060"/>
      <c r="C156" s="1060"/>
      <c r="D156" s="1060"/>
      <c r="E156" s="1060"/>
      <c r="F156" s="1101"/>
    </row>
    <row r="157" spans="1:6" s="504" customFormat="1">
      <c r="A157" s="1045">
        <v>7</v>
      </c>
      <c r="B157" s="1060" t="str">
        <f>B104</f>
        <v>ELEMENT 7: STORAGE SHELVES</v>
      </c>
      <c r="C157" s="1060"/>
      <c r="D157" s="1060"/>
      <c r="E157" s="1060"/>
      <c r="F157" s="1101"/>
    </row>
    <row r="158" spans="1:6" s="504" customFormat="1">
      <c r="A158" s="1045"/>
      <c r="B158" s="1060"/>
      <c r="C158" s="1060"/>
      <c r="D158" s="1060"/>
      <c r="E158" s="1060"/>
      <c r="F158" s="1101"/>
    </row>
    <row r="159" spans="1:6" s="504" customFormat="1">
      <c r="A159" s="1045">
        <v>8</v>
      </c>
      <c r="B159" s="1076" t="str">
        <f>B114</f>
        <v>ELEMENT NO. 8: ELECTRICAL INSTALLATIONS AND SERVICES</v>
      </c>
      <c r="C159" s="1060"/>
      <c r="D159" s="1060"/>
      <c r="E159" s="1060"/>
      <c r="F159" s="1101"/>
    </row>
    <row r="160" spans="1:6" s="504" customFormat="1">
      <c r="A160" s="1045"/>
      <c r="B160" s="1060"/>
      <c r="C160" s="1060"/>
      <c r="D160" s="1060"/>
      <c r="E160" s="1060"/>
      <c r="F160" s="1101"/>
    </row>
    <row r="161" spans="1:6" s="504" customFormat="1">
      <c r="A161" s="1045">
        <v>9</v>
      </c>
      <c r="B161" s="1060" t="str">
        <f>B138</f>
        <v>ELEMENT NO. 9:  STEPS AND RUMPS</v>
      </c>
      <c r="C161" s="1060"/>
      <c r="D161" s="1060"/>
      <c r="E161" s="1060"/>
      <c r="F161" s="1101"/>
    </row>
    <row r="162" spans="1:6" s="504" customFormat="1">
      <c r="A162" s="1045"/>
      <c r="B162" s="1060"/>
      <c r="C162" s="1060"/>
      <c r="D162" s="1060"/>
      <c r="E162" s="1060"/>
      <c r="F162" s="1101"/>
    </row>
    <row r="163" spans="1:6" s="504" customFormat="1">
      <c r="A163" s="1045"/>
      <c r="B163" s="1060"/>
      <c r="C163" s="1060"/>
      <c r="D163" s="1060"/>
      <c r="E163" s="1060"/>
      <c r="F163" s="1101"/>
    </row>
    <row r="164" spans="1:6" s="504" customFormat="1">
      <c r="A164" s="1045"/>
      <c r="B164" s="1060"/>
      <c r="C164" s="1060"/>
      <c r="D164" s="1060"/>
      <c r="E164" s="1060"/>
      <c r="F164" s="1101"/>
    </row>
    <row r="165" spans="1:6">
      <c r="A165" s="422"/>
      <c r="B165" s="227" t="s">
        <v>1067</v>
      </c>
      <c r="C165" s="227"/>
      <c r="D165" s="227"/>
      <c r="E165" s="227"/>
      <c r="F165" s="228"/>
    </row>
  </sheetData>
  <customSheetViews>
    <customSheetView guid="{58A41188-4CB9-4607-A927-9B98665919B2}" showPageBreaks="1" printArea="1" view="pageBreakPreview">
      <pane xSplit="2" ySplit="1" topLeftCell="C137" activePane="bottomRight" state="frozen"/>
      <selection pane="bottomRight" activeCell="F156" sqref="F156"/>
      <rowBreaks count="5" manualBreakCount="5">
        <brk id="31" max="5" man="1"/>
        <brk id="64" max="5" man="1"/>
        <brk id="103" max="5" man="1"/>
        <brk id="125" max="5" man="1"/>
        <brk id="140" max="5" man="1"/>
      </rowBreaks>
      <pageMargins left="0.7" right="0.7" top="0.75" bottom="0.75" header="0.3" footer="0.3"/>
      <pageSetup scale="73" orientation="portrait" r:id="rId1"/>
    </customSheetView>
    <customSheetView guid="{1E933494-4ABB-4290-95BF-88ADDB331983}" scale="119" showPageBreaks="1" printArea="1" view="pageBreakPreview">
      <pane xSplit="2" ySplit="1" topLeftCell="C71" activePane="bottomRight" state="frozen"/>
      <selection pane="bottomRight" activeCell="C182" sqref="C182"/>
      <pageMargins left="0.7" right="0.7" top="0.75" bottom="0.75" header="0.3" footer="0.3"/>
      <pageSetup orientation="portrait" r:id="rId2"/>
    </customSheetView>
  </customSheetViews>
  <pageMargins left="0.7" right="0.7" top="0.75" bottom="0.75" header="0.3" footer="0.3"/>
  <pageSetup scale="68" orientation="portrait" r:id="rId3"/>
  <rowBreaks count="4" manualBreakCount="4">
    <brk id="35" max="5" man="1"/>
    <brk id="86" max="5" man="1"/>
    <brk id="110" max="5" man="1"/>
    <brk id="14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95"/>
  <sheetViews>
    <sheetView view="pageBreakPreview" zoomScaleNormal="100" zoomScaleSheetLayoutView="100" workbookViewId="0">
      <pane xSplit="2" ySplit="1" topLeftCell="C185" activePane="bottomRight" state="frozen"/>
      <selection pane="topRight" activeCell="C1" sqref="C1"/>
      <selection pane="bottomLeft" activeCell="A2" sqref="A2"/>
      <selection pane="bottomRight" activeCell="E154" sqref="E154:E197"/>
    </sheetView>
  </sheetViews>
  <sheetFormatPr defaultColWidth="8.88671875" defaultRowHeight="14.4"/>
  <cols>
    <col min="1" max="1" width="6.6640625" style="423" bestFit="1" customWidth="1"/>
    <col min="2" max="2" width="54.33203125" style="504" customWidth="1"/>
    <col min="3" max="3" width="8.88671875" style="504"/>
    <col min="4" max="4" width="8.88671875" style="504" customWidth="1"/>
    <col min="5" max="5" width="8.5546875" style="504" customWidth="1"/>
    <col min="6" max="6" width="10.44140625" style="504" bestFit="1" customWidth="1"/>
    <col min="7" max="16384" width="8.88671875" style="504"/>
  </cols>
  <sheetData>
    <row r="1" spans="1:6">
      <c r="A1" s="839" t="s">
        <v>260</v>
      </c>
      <c r="B1" s="840" t="s">
        <v>13</v>
      </c>
      <c r="C1" s="841" t="s">
        <v>330</v>
      </c>
      <c r="D1" s="842" t="s">
        <v>331</v>
      </c>
      <c r="E1" s="843" t="s">
        <v>332</v>
      </c>
      <c r="F1" s="844"/>
    </row>
    <row r="2" spans="1:6">
      <c r="A2" s="54"/>
      <c r="B2" s="15" t="str">
        <f>'1 Preliminaries '!B2</f>
        <v>PROPOSED MALE TRANSITION CENTER - BAIDOA</v>
      </c>
      <c r="C2" s="30"/>
      <c r="D2" s="35"/>
      <c r="E2" s="51"/>
      <c r="F2" s="55"/>
    </row>
    <row r="3" spans="1:6">
      <c r="A3" s="54"/>
      <c r="B3" s="31" t="s">
        <v>1076</v>
      </c>
      <c r="C3" s="30"/>
      <c r="D3" s="35"/>
      <c r="E3" s="51"/>
      <c r="F3" s="55"/>
    </row>
    <row r="4" spans="1:6">
      <c r="A4" s="54"/>
      <c r="B4" s="31"/>
      <c r="C4" s="30"/>
      <c r="D4" s="35"/>
      <c r="E4" s="51"/>
      <c r="F4" s="55"/>
    </row>
    <row r="5" spans="1:6">
      <c r="A5" s="541">
        <v>3</v>
      </c>
      <c r="B5" s="508" t="s">
        <v>1013</v>
      </c>
      <c r="C5" s="509"/>
      <c r="D5" s="510"/>
      <c r="E5" s="512"/>
      <c r="F5" s="513"/>
    </row>
    <row r="6" spans="1:6">
      <c r="A6" s="545"/>
      <c r="B6" s="546" t="s">
        <v>1014</v>
      </c>
      <c r="C6" s="547"/>
      <c r="D6" s="547"/>
      <c r="E6" s="547"/>
      <c r="F6" s="576"/>
    </row>
    <row r="7" spans="1:6">
      <c r="A7" s="545">
        <v>3.1</v>
      </c>
      <c r="B7" s="546" t="s">
        <v>873</v>
      </c>
      <c r="C7" s="547"/>
      <c r="D7" s="547"/>
      <c r="E7" s="547"/>
      <c r="F7" s="576"/>
    </row>
    <row r="8" spans="1:6" ht="27">
      <c r="A8" s="548" t="s">
        <v>498</v>
      </c>
      <c r="B8" s="549" t="s">
        <v>874</v>
      </c>
      <c r="C8" s="547" t="s">
        <v>500</v>
      </c>
      <c r="D8" s="547">
        <v>72</v>
      </c>
      <c r="E8" s="547"/>
      <c r="F8" s="576"/>
    </row>
    <row r="9" spans="1:6" ht="16.2">
      <c r="A9" s="548" t="s">
        <v>499</v>
      </c>
      <c r="B9" s="549" t="s">
        <v>875</v>
      </c>
      <c r="C9" s="547" t="s">
        <v>501</v>
      </c>
      <c r="D9" s="547">
        <f>CEILING((36.6+10.2+4.2)*1.5*0.6,1)</f>
        <v>46</v>
      </c>
      <c r="E9" s="547"/>
      <c r="F9" s="576"/>
    </row>
    <row r="10" spans="1:6">
      <c r="A10" s="548"/>
      <c r="B10" s="549"/>
      <c r="C10" s="547"/>
      <c r="D10" s="547"/>
      <c r="E10" s="547"/>
      <c r="F10" s="576"/>
    </row>
    <row r="11" spans="1:6">
      <c r="A11" s="545">
        <v>3.2</v>
      </c>
      <c r="B11" s="546" t="s">
        <v>876</v>
      </c>
      <c r="C11" s="547"/>
      <c r="D11" s="547"/>
      <c r="E11" s="547"/>
      <c r="F11" s="576"/>
    </row>
    <row r="12" spans="1:6" ht="27">
      <c r="A12" s="548" t="s">
        <v>1016</v>
      </c>
      <c r="B12" s="549" t="s">
        <v>877</v>
      </c>
      <c r="C12" s="547" t="s">
        <v>501</v>
      </c>
      <c r="D12" s="547">
        <f>CEILING(D9-(51*0.2*0.6)-(0.2*1.2*51),1)</f>
        <v>28</v>
      </c>
      <c r="E12" s="547"/>
      <c r="F12" s="576"/>
    </row>
    <row r="13" spans="1:6" ht="16.2">
      <c r="A13" s="548" t="s">
        <v>1016</v>
      </c>
      <c r="B13" s="549" t="s">
        <v>878</v>
      </c>
      <c r="C13" s="547" t="s">
        <v>501</v>
      </c>
      <c r="D13" s="547">
        <f>D9-D12</f>
        <v>18</v>
      </c>
      <c r="E13" s="547"/>
      <c r="F13" s="576"/>
    </row>
    <row r="14" spans="1:6">
      <c r="A14" s="548"/>
      <c r="B14" s="546"/>
      <c r="C14" s="547"/>
      <c r="D14" s="547"/>
      <c r="E14" s="547"/>
      <c r="F14" s="576"/>
    </row>
    <row r="15" spans="1:6">
      <c r="A15" s="545">
        <v>3.3</v>
      </c>
      <c r="B15" s="546" t="s">
        <v>879</v>
      </c>
      <c r="C15" s="547"/>
      <c r="D15" s="547"/>
      <c r="E15" s="547"/>
      <c r="F15" s="576"/>
    </row>
    <row r="16" spans="1:6" ht="27">
      <c r="A16" s="548" t="s">
        <v>508</v>
      </c>
      <c r="B16" s="549" t="s">
        <v>880</v>
      </c>
      <c r="C16" s="547" t="s">
        <v>500</v>
      </c>
      <c r="D16" s="547">
        <f>D8</f>
        <v>72</v>
      </c>
      <c r="E16" s="547"/>
      <c r="F16" s="576"/>
    </row>
    <row r="17" spans="1:7">
      <c r="A17" s="560"/>
      <c r="B17" s="549"/>
      <c r="C17" s="547"/>
      <c r="D17" s="547"/>
      <c r="E17" s="547"/>
      <c r="F17" s="576"/>
    </row>
    <row r="18" spans="1:7">
      <c r="A18" s="545">
        <v>3.4</v>
      </c>
      <c r="B18" s="546" t="s">
        <v>307</v>
      </c>
      <c r="C18" s="547"/>
      <c r="D18" s="547"/>
      <c r="E18" s="547"/>
      <c r="F18" s="576"/>
    </row>
    <row r="19" spans="1:7" ht="43.2">
      <c r="A19" s="541" t="s">
        <v>1017</v>
      </c>
      <c r="B19" s="511" t="s">
        <v>690</v>
      </c>
      <c r="C19" s="510" t="s">
        <v>465</v>
      </c>
      <c r="D19" s="510">
        <f>D8</f>
        <v>72</v>
      </c>
      <c r="E19" s="512"/>
      <c r="F19" s="576"/>
    </row>
    <row r="20" spans="1:7">
      <c r="A20" s="548"/>
      <c r="B20" s="549"/>
      <c r="C20" s="547"/>
      <c r="D20" s="547"/>
      <c r="E20" s="547"/>
      <c r="F20" s="576"/>
    </row>
    <row r="21" spans="1:7">
      <c r="A21" s="545">
        <v>3.5</v>
      </c>
      <c r="B21" s="546" t="s">
        <v>881</v>
      </c>
      <c r="C21" s="547"/>
      <c r="D21" s="547"/>
      <c r="E21" s="547"/>
      <c r="F21" s="576"/>
    </row>
    <row r="22" spans="1:7" ht="27">
      <c r="A22" s="548" t="s">
        <v>1018</v>
      </c>
      <c r="B22" s="549" t="s">
        <v>882</v>
      </c>
      <c r="C22" s="547" t="s">
        <v>500</v>
      </c>
      <c r="D22" s="547">
        <f>D8</f>
        <v>72</v>
      </c>
      <c r="E22" s="547"/>
      <c r="F22" s="576"/>
    </row>
    <row r="23" spans="1:7">
      <c r="A23" s="541"/>
      <c r="B23" s="508"/>
      <c r="C23" s="509"/>
      <c r="D23" s="510"/>
      <c r="E23" s="512"/>
      <c r="F23" s="576"/>
    </row>
    <row r="24" spans="1:7" ht="16.2">
      <c r="A24" s="548" t="s">
        <v>1019</v>
      </c>
      <c r="B24" s="549" t="s">
        <v>883</v>
      </c>
      <c r="C24" s="547" t="s">
        <v>500</v>
      </c>
      <c r="D24" s="547">
        <f>CEILING(51*0.6,1)</f>
        <v>31</v>
      </c>
      <c r="E24" s="547"/>
      <c r="F24" s="576"/>
    </row>
    <row r="25" spans="1:7">
      <c r="A25" s="561"/>
      <c r="B25" s="562"/>
      <c r="C25" s="563"/>
      <c r="D25" s="563"/>
      <c r="E25" s="564"/>
      <c r="F25" s="576"/>
    </row>
    <row r="26" spans="1:7">
      <c r="A26" s="545">
        <v>3.6</v>
      </c>
      <c r="B26" s="546" t="s">
        <v>884</v>
      </c>
      <c r="C26" s="547"/>
      <c r="D26" s="547"/>
      <c r="E26" s="547"/>
      <c r="F26" s="576"/>
    </row>
    <row r="27" spans="1:7" ht="16.2">
      <c r="A27" s="548" t="s">
        <v>1020</v>
      </c>
      <c r="B27" s="549" t="s">
        <v>885</v>
      </c>
      <c r="C27" s="547" t="s">
        <v>501</v>
      </c>
      <c r="D27" s="547">
        <f>CEILING(51*0.6*0.2,1)</f>
        <v>7</v>
      </c>
      <c r="E27" s="547"/>
      <c r="F27" s="576"/>
    </row>
    <row r="28" spans="1:7" ht="16.2">
      <c r="A28" s="548" t="s">
        <v>1021</v>
      </c>
      <c r="B28" s="549" t="s">
        <v>886</v>
      </c>
      <c r="C28" s="547" t="s">
        <v>501</v>
      </c>
      <c r="D28" s="547">
        <f>CEILING(51*0.2*0.3,1)</f>
        <v>4</v>
      </c>
      <c r="E28" s="547"/>
      <c r="F28" s="576"/>
    </row>
    <row r="29" spans="1:7" ht="16.2">
      <c r="A29" s="548" t="s">
        <v>1022</v>
      </c>
      <c r="B29" s="549" t="s">
        <v>887</v>
      </c>
      <c r="C29" s="547" t="s">
        <v>500</v>
      </c>
      <c r="D29" s="547">
        <f>D8</f>
        <v>72</v>
      </c>
      <c r="E29" s="547"/>
      <c r="F29" s="576"/>
    </row>
    <row r="30" spans="1:7">
      <c r="A30" s="548"/>
      <c r="B30" s="549"/>
      <c r="C30" s="547"/>
      <c r="D30" s="547"/>
      <c r="E30" s="547"/>
      <c r="F30" s="576"/>
    </row>
    <row r="31" spans="1:7" s="155" customFormat="1">
      <c r="A31" s="550">
        <v>3.7</v>
      </c>
      <c r="B31" s="546" t="s">
        <v>888</v>
      </c>
      <c r="C31" s="547"/>
      <c r="D31" s="547"/>
      <c r="E31" s="547"/>
      <c r="F31" s="576"/>
      <c r="G31" s="154"/>
    </row>
    <row r="32" spans="1:7" s="76" customFormat="1">
      <c r="A32" s="548"/>
      <c r="B32" s="551" t="s">
        <v>889</v>
      </c>
      <c r="C32" s="547"/>
      <c r="D32" s="547"/>
      <c r="E32" s="547"/>
      <c r="F32" s="576"/>
      <c r="G32" s="75"/>
    </row>
    <row r="33" spans="1:198" s="52" customFormat="1">
      <c r="A33" s="548"/>
      <c r="B33" s="551" t="s">
        <v>890</v>
      </c>
      <c r="C33" s="547"/>
      <c r="D33" s="547"/>
      <c r="E33" s="547"/>
      <c r="F33" s="576"/>
      <c r="G33" s="74"/>
    </row>
    <row r="34" spans="1:198" s="52" customFormat="1">
      <c r="A34" s="548" t="s">
        <v>1023</v>
      </c>
      <c r="B34" s="549" t="s">
        <v>891</v>
      </c>
      <c r="C34" s="547" t="s">
        <v>892</v>
      </c>
      <c r="D34" s="547">
        <f>CEILING((51*3*1.15+((51/0.2+1)*0.95))*0.395,1)</f>
        <v>166</v>
      </c>
      <c r="E34" s="547"/>
      <c r="F34" s="576"/>
      <c r="G34" s="74"/>
    </row>
    <row r="35" spans="1:198" s="52" customFormat="1">
      <c r="A35" s="548" t="s">
        <v>1024</v>
      </c>
      <c r="B35" s="549" t="s">
        <v>1015</v>
      </c>
      <c r="C35" s="547" t="s">
        <v>892</v>
      </c>
      <c r="D35" s="547">
        <f>CEILING(((51/0.2+1)*0.7)*0.617,1)</f>
        <v>111</v>
      </c>
      <c r="E35" s="547"/>
      <c r="F35" s="576"/>
      <c r="G35" s="74"/>
    </row>
    <row r="36" spans="1:198" s="156" customFormat="1">
      <c r="A36" s="548" t="s">
        <v>1025</v>
      </c>
      <c r="B36" s="549" t="s">
        <v>893</v>
      </c>
      <c r="C36" s="547" t="s">
        <v>892</v>
      </c>
      <c r="D36" s="547">
        <f>CEILING((51*4*1.15)*0.888,1)</f>
        <v>209</v>
      </c>
      <c r="E36" s="547"/>
      <c r="F36" s="576"/>
      <c r="G36" s="62"/>
    </row>
    <row r="37" spans="1:198" s="161" customFormat="1" ht="15.6">
      <c r="A37" s="548"/>
      <c r="B37" s="549"/>
      <c r="C37" s="547"/>
      <c r="D37" s="547"/>
      <c r="E37" s="547"/>
      <c r="F37" s="576"/>
      <c r="G37" s="159"/>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c r="BU37" s="160"/>
      <c r="BV37" s="160"/>
      <c r="BW37" s="160"/>
      <c r="BX37" s="160"/>
      <c r="BY37" s="160"/>
      <c r="BZ37" s="160"/>
      <c r="CA37" s="160"/>
      <c r="CB37" s="160"/>
      <c r="CC37" s="160"/>
      <c r="CD37" s="160"/>
      <c r="CE37" s="160"/>
      <c r="CF37" s="160"/>
      <c r="CG37" s="160"/>
      <c r="CH37" s="160"/>
      <c r="CI37" s="160"/>
      <c r="CJ37" s="160"/>
      <c r="CK37" s="160"/>
      <c r="CL37" s="160"/>
      <c r="CM37" s="160"/>
      <c r="CN37" s="160"/>
      <c r="CO37" s="160"/>
      <c r="CP37" s="160"/>
      <c r="CQ37" s="160"/>
      <c r="CR37" s="160"/>
      <c r="CS37" s="160"/>
      <c r="CT37" s="160"/>
      <c r="CU37" s="160"/>
      <c r="CV37" s="160"/>
      <c r="CW37" s="160"/>
      <c r="CX37" s="160"/>
      <c r="CY37" s="160"/>
      <c r="CZ37" s="160"/>
      <c r="DA37" s="160"/>
      <c r="DB37" s="160"/>
      <c r="DC37" s="160"/>
      <c r="DD37" s="160"/>
      <c r="DE37" s="160"/>
      <c r="DF37" s="160"/>
      <c r="DG37" s="160"/>
      <c r="DH37" s="160"/>
      <c r="DI37" s="160"/>
      <c r="DJ37" s="160"/>
      <c r="DK37" s="160"/>
      <c r="DL37" s="160"/>
      <c r="DM37" s="160"/>
      <c r="DN37" s="160"/>
      <c r="DO37" s="160"/>
      <c r="DP37" s="160"/>
      <c r="DQ37" s="160"/>
      <c r="DR37" s="160"/>
      <c r="DS37" s="160"/>
      <c r="DT37" s="160"/>
      <c r="DU37" s="160"/>
      <c r="DV37" s="160"/>
      <c r="DW37" s="160"/>
      <c r="DX37" s="160"/>
      <c r="DY37" s="160"/>
      <c r="DZ37" s="160"/>
      <c r="EA37" s="160"/>
      <c r="EB37" s="160"/>
      <c r="EC37" s="160"/>
      <c r="ED37" s="160"/>
      <c r="EE37" s="160"/>
      <c r="EF37" s="160"/>
      <c r="EG37" s="160"/>
      <c r="EH37" s="160"/>
      <c r="EI37" s="160"/>
      <c r="EJ37" s="160"/>
      <c r="EK37" s="160"/>
      <c r="EL37" s="160"/>
      <c r="EM37" s="160"/>
      <c r="EN37" s="160"/>
      <c r="EO37" s="160"/>
      <c r="EP37" s="160"/>
      <c r="EQ37" s="160"/>
      <c r="ER37" s="160"/>
      <c r="ES37" s="160"/>
      <c r="ET37" s="160"/>
      <c r="EU37" s="160"/>
      <c r="EV37" s="160"/>
      <c r="EW37" s="160"/>
      <c r="EX37" s="160"/>
      <c r="EY37" s="160"/>
      <c r="EZ37" s="160"/>
      <c r="FA37" s="160"/>
      <c r="FB37" s="160"/>
      <c r="FC37" s="160"/>
      <c r="FD37" s="160"/>
      <c r="FE37" s="160"/>
      <c r="FF37" s="160"/>
      <c r="FG37" s="160"/>
      <c r="FH37" s="160"/>
      <c r="FI37" s="160"/>
      <c r="FJ37" s="160"/>
      <c r="FK37" s="160"/>
      <c r="FL37" s="160"/>
      <c r="FM37" s="160"/>
      <c r="FN37" s="160"/>
      <c r="FO37" s="160"/>
      <c r="FP37" s="160"/>
      <c r="FQ37" s="160"/>
      <c r="FR37" s="160"/>
      <c r="FS37" s="160"/>
      <c r="FT37" s="160"/>
      <c r="FU37" s="160"/>
      <c r="FV37" s="160"/>
      <c r="FW37" s="160"/>
      <c r="FX37" s="160"/>
      <c r="FY37" s="160"/>
      <c r="FZ37" s="160"/>
      <c r="GA37" s="160"/>
      <c r="GB37" s="160"/>
      <c r="GC37" s="160"/>
      <c r="GD37" s="160"/>
      <c r="GE37" s="160"/>
      <c r="GF37" s="160"/>
      <c r="GG37" s="160"/>
      <c r="GH37" s="160"/>
      <c r="GI37" s="160"/>
      <c r="GJ37" s="160"/>
      <c r="GK37" s="160"/>
      <c r="GL37" s="160"/>
      <c r="GM37" s="160"/>
      <c r="GN37" s="160"/>
      <c r="GO37" s="160"/>
      <c r="GP37" s="160"/>
    </row>
    <row r="38" spans="1:198" s="161" customFormat="1" ht="15.6">
      <c r="A38" s="545">
        <v>3.8</v>
      </c>
      <c r="B38" s="546" t="s">
        <v>894</v>
      </c>
      <c r="C38" s="547"/>
      <c r="D38" s="547"/>
      <c r="E38" s="547"/>
      <c r="F38" s="576"/>
      <c r="G38" s="159"/>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0"/>
      <c r="BX38" s="160"/>
      <c r="BY38" s="160"/>
      <c r="BZ38" s="160"/>
      <c r="CA38" s="160"/>
      <c r="CB38" s="160"/>
      <c r="CC38" s="160"/>
      <c r="CD38" s="160"/>
      <c r="CE38" s="160"/>
      <c r="CF38" s="160"/>
      <c r="CG38" s="160"/>
      <c r="CH38" s="160"/>
      <c r="CI38" s="160"/>
      <c r="CJ38" s="160"/>
      <c r="CK38" s="160"/>
      <c r="CL38" s="160"/>
      <c r="CM38" s="160"/>
      <c r="CN38" s="160"/>
      <c r="CO38" s="160"/>
      <c r="CP38" s="160"/>
      <c r="CQ38" s="160"/>
      <c r="CR38" s="160"/>
      <c r="CS38" s="160"/>
      <c r="CT38" s="160"/>
      <c r="CU38" s="160"/>
      <c r="CV38" s="160"/>
      <c r="CW38" s="160"/>
      <c r="CX38" s="160"/>
      <c r="CY38" s="160"/>
      <c r="CZ38" s="160"/>
      <c r="DA38" s="160"/>
      <c r="DB38" s="160"/>
      <c r="DC38" s="160"/>
      <c r="DD38" s="160"/>
      <c r="DE38" s="160"/>
      <c r="DF38" s="160"/>
      <c r="DG38" s="160"/>
      <c r="DH38" s="160"/>
      <c r="DI38" s="160"/>
      <c r="DJ38" s="160"/>
      <c r="DK38" s="160"/>
      <c r="DL38" s="160"/>
      <c r="DM38" s="160"/>
      <c r="DN38" s="160"/>
      <c r="DO38" s="160"/>
      <c r="DP38" s="160"/>
      <c r="DQ38" s="160"/>
      <c r="DR38" s="160"/>
      <c r="DS38" s="160"/>
      <c r="DT38" s="160"/>
      <c r="DU38" s="160"/>
      <c r="DV38" s="160"/>
      <c r="DW38" s="160"/>
      <c r="DX38" s="160"/>
      <c r="DY38" s="160"/>
      <c r="DZ38" s="160"/>
      <c r="EA38" s="160"/>
      <c r="EB38" s="160"/>
      <c r="EC38" s="160"/>
      <c r="ED38" s="160"/>
      <c r="EE38" s="160"/>
      <c r="EF38" s="160"/>
      <c r="EG38" s="160"/>
      <c r="EH38" s="160"/>
      <c r="EI38" s="160"/>
      <c r="EJ38" s="160"/>
      <c r="EK38" s="160"/>
      <c r="EL38" s="160"/>
      <c r="EM38" s="160"/>
      <c r="EN38" s="160"/>
      <c r="EO38" s="160"/>
      <c r="EP38" s="160"/>
      <c r="EQ38" s="160"/>
      <c r="ER38" s="160"/>
      <c r="ES38" s="160"/>
      <c r="ET38" s="160"/>
      <c r="EU38" s="160"/>
      <c r="EV38" s="160"/>
      <c r="EW38" s="160"/>
      <c r="EX38" s="160"/>
      <c r="EY38" s="160"/>
      <c r="EZ38" s="160"/>
      <c r="FA38" s="160"/>
      <c r="FB38" s="160"/>
      <c r="FC38" s="160"/>
      <c r="FD38" s="160"/>
      <c r="FE38" s="160"/>
      <c r="FF38" s="160"/>
      <c r="FG38" s="160"/>
      <c r="FH38" s="160"/>
      <c r="FI38" s="160"/>
      <c r="FJ38" s="160"/>
      <c r="FK38" s="160"/>
      <c r="FL38" s="160"/>
      <c r="FM38" s="160"/>
      <c r="FN38" s="160"/>
      <c r="FO38" s="160"/>
      <c r="FP38" s="160"/>
      <c r="FQ38" s="160"/>
      <c r="FR38" s="160"/>
      <c r="FS38" s="160"/>
      <c r="FT38" s="160"/>
      <c r="FU38" s="160"/>
      <c r="FV38" s="160"/>
      <c r="FW38" s="160"/>
      <c r="FX38" s="160"/>
      <c r="FY38" s="160"/>
      <c r="FZ38" s="160"/>
      <c r="GA38" s="160"/>
      <c r="GB38" s="160"/>
      <c r="GC38" s="160"/>
      <c r="GD38" s="160"/>
      <c r="GE38" s="160"/>
      <c r="GF38" s="160"/>
      <c r="GG38" s="160"/>
      <c r="GH38" s="160"/>
      <c r="GI38" s="160"/>
      <c r="GJ38" s="160"/>
      <c r="GK38" s="160"/>
      <c r="GL38" s="160"/>
      <c r="GM38" s="160"/>
      <c r="GN38" s="160"/>
      <c r="GO38" s="160"/>
      <c r="GP38" s="160"/>
    </row>
    <row r="39" spans="1:198" s="161" customFormat="1" ht="16.2">
      <c r="A39" s="548" t="s">
        <v>1026</v>
      </c>
      <c r="B39" s="549" t="s">
        <v>895</v>
      </c>
      <c r="C39" s="547" t="s">
        <v>500</v>
      </c>
      <c r="D39" s="547">
        <f>CEILING(51*2*0.2,1)</f>
        <v>21</v>
      </c>
      <c r="E39" s="547"/>
      <c r="F39" s="576"/>
      <c r="G39" s="159"/>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0"/>
      <c r="DB39" s="160"/>
      <c r="DC39" s="160"/>
      <c r="DD39" s="160"/>
      <c r="DE39" s="160"/>
      <c r="DF39" s="160"/>
      <c r="DG39" s="160"/>
      <c r="DH39" s="160"/>
      <c r="DI39" s="160"/>
      <c r="DJ39" s="160"/>
      <c r="DK39" s="160"/>
      <c r="DL39" s="160"/>
      <c r="DM39" s="160"/>
      <c r="DN39" s="160"/>
      <c r="DO39" s="160"/>
      <c r="DP39" s="160"/>
      <c r="DQ39" s="160"/>
      <c r="DR39" s="160"/>
      <c r="DS39" s="160"/>
      <c r="DT39" s="160"/>
      <c r="DU39" s="160"/>
      <c r="DV39" s="160"/>
      <c r="DW39" s="160"/>
      <c r="DX39" s="160"/>
      <c r="DY39" s="160"/>
      <c r="DZ39" s="160"/>
      <c r="EA39" s="160"/>
      <c r="EB39" s="160"/>
      <c r="EC39" s="160"/>
      <c r="ED39" s="160"/>
      <c r="EE39" s="160"/>
      <c r="EF39" s="160"/>
      <c r="EG39" s="160"/>
      <c r="EH39" s="160"/>
      <c r="EI39" s="160"/>
      <c r="EJ39" s="160"/>
      <c r="EK39" s="160"/>
      <c r="EL39" s="160"/>
      <c r="EM39" s="160"/>
      <c r="EN39" s="160"/>
      <c r="EO39" s="160"/>
      <c r="EP39" s="160"/>
      <c r="EQ39" s="160"/>
      <c r="ER39" s="160"/>
      <c r="ES39" s="160"/>
      <c r="ET39" s="160"/>
      <c r="EU39" s="160"/>
      <c r="EV39" s="160"/>
      <c r="EW39" s="160"/>
      <c r="EX39" s="160"/>
      <c r="EY39" s="160"/>
      <c r="EZ39" s="160"/>
      <c r="FA39" s="160"/>
      <c r="FB39" s="160"/>
      <c r="FC39" s="160"/>
      <c r="FD39" s="160"/>
      <c r="FE39" s="160"/>
      <c r="FF39" s="160"/>
      <c r="FG39" s="160"/>
      <c r="FH39" s="160"/>
      <c r="FI39" s="160"/>
      <c r="FJ39" s="160"/>
      <c r="FK39" s="160"/>
      <c r="FL39" s="160"/>
      <c r="FM39" s="160"/>
      <c r="FN39" s="160"/>
      <c r="FO39" s="160"/>
      <c r="FP39" s="160"/>
      <c r="FQ39" s="160"/>
      <c r="FR39" s="160"/>
      <c r="FS39" s="160"/>
      <c r="FT39" s="160"/>
      <c r="FU39" s="160"/>
      <c r="FV39" s="160"/>
      <c r="FW39" s="160"/>
      <c r="FX39" s="160"/>
      <c r="FY39" s="160"/>
      <c r="FZ39" s="160"/>
      <c r="GA39" s="160"/>
      <c r="GB39" s="160"/>
      <c r="GC39" s="160"/>
      <c r="GD39" s="160"/>
      <c r="GE39" s="160"/>
      <c r="GF39" s="160"/>
      <c r="GG39" s="160"/>
      <c r="GH39" s="160"/>
      <c r="GI39" s="160"/>
      <c r="GJ39" s="160"/>
      <c r="GK39" s="160"/>
      <c r="GL39" s="160"/>
      <c r="GM39" s="160"/>
      <c r="GN39" s="160"/>
      <c r="GO39" s="160"/>
      <c r="GP39" s="160"/>
    </row>
    <row r="40" spans="1:198" s="161" customFormat="1" ht="15.6">
      <c r="A40" s="548" t="s">
        <v>1027</v>
      </c>
      <c r="B40" s="549" t="s">
        <v>896</v>
      </c>
      <c r="C40" s="547" t="s">
        <v>325</v>
      </c>
      <c r="D40" s="547">
        <v>37</v>
      </c>
      <c r="E40" s="547"/>
      <c r="F40" s="576"/>
      <c r="G40" s="159"/>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60"/>
      <c r="CL40" s="160"/>
      <c r="CM40" s="160"/>
      <c r="CN40" s="160"/>
      <c r="CO40" s="160"/>
      <c r="CP40" s="160"/>
      <c r="CQ40" s="160"/>
      <c r="CR40" s="160"/>
      <c r="CS40" s="160"/>
      <c r="CT40" s="160"/>
      <c r="CU40" s="160"/>
      <c r="CV40" s="160"/>
      <c r="CW40" s="160"/>
      <c r="CX40" s="160"/>
      <c r="CY40" s="160"/>
      <c r="CZ40" s="160"/>
      <c r="DA40" s="160"/>
      <c r="DB40" s="160"/>
      <c r="DC40" s="160"/>
      <c r="DD40" s="160"/>
      <c r="DE40" s="160"/>
      <c r="DF40" s="160"/>
      <c r="DG40" s="160"/>
      <c r="DH40" s="160"/>
      <c r="DI40" s="160"/>
      <c r="DJ40" s="160"/>
      <c r="DK40" s="160"/>
      <c r="DL40" s="160"/>
      <c r="DM40" s="160"/>
      <c r="DN40" s="160"/>
      <c r="DO40" s="160"/>
      <c r="DP40" s="160"/>
      <c r="DQ40" s="160"/>
      <c r="DR40" s="160"/>
      <c r="DS40" s="160"/>
      <c r="DT40" s="160"/>
      <c r="DU40" s="160"/>
      <c r="DV40" s="160"/>
      <c r="DW40" s="160"/>
      <c r="DX40" s="160"/>
      <c r="DY40" s="160"/>
      <c r="DZ40" s="160"/>
      <c r="EA40" s="160"/>
      <c r="EB40" s="160"/>
      <c r="EC40" s="160"/>
      <c r="ED40" s="160"/>
      <c r="EE40" s="160"/>
      <c r="EF40" s="160"/>
      <c r="EG40" s="160"/>
      <c r="EH40" s="160"/>
      <c r="EI40" s="160"/>
      <c r="EJ40" s="160"/>
      <c r="EK40" s="160"/>
      <c r="EL40" s="160"/>
      <c r="EM40" s="160"/>
      <c r="EN40" s="160"/>
      <c r="EO40" s="160"/>
      <c r="EP40" s="160"/>
      <c r="EQ40" s="160"/>
      <c r="ER40" s="160"/>
      <c r="ES40" s="160"/>
      <c r="ET40" s="160"/>
      <c r="EU40" s="160"/>
      <c r="EV40" s="160"/>
      <c r="EW40" s="160"/>
      <c r="EX40" s="160"/>
      <c r="EY40" s="160"/>
      <c r="EZ40" s="160"/>
      <c r="FA40" s="160"/>
      <c r="FB40" s="160"/>
      <c r="FC40" s="160"/>
      <c r="FD40" s="160"/>
      <c r="FE40" s="160"/>
      <c r="FF40" s="160"/>
      <c r="FG40" s="160"/>
      <c r="FH40" s="160"/>
      <c r="FI40" s="160"/>
      <c r="FJ40" s="160"/>
      <c r="FK40" s="160"/>
      <c r="FL40" s="160"/>
      <c r="FM40" s="160"/>
      <c r="FN40" s="160"/>
      <c r="FO40" s="160"/>
      <c r="FP40" s="160"/>
      <c r="FQ40" s="160"/>
      <c r="FR40" s="160"/>
      <c r="FS40" s="160"/>
      <c r="FT40" s="160"/>
      <c r="FU40" s="160"/>
      <c r="FV40" s="160"/>
      <c r="FW40" s="160"/>
      <c r="FX40" s="160"/>
      <c r="FY40" s="160"/>
      <c r="FZ40" s="160"/>
      <c r="GA40" s="160"/>
      <c r="GB40" s="160"/>
      <c r="GC40" s="160"/>
      <c r="GD40" s="160"/>
      <c r="GE40" s="160"/>
      <c r="GF40" s="160"/>
      <c r="GG40" s="160"/>
      <c r="GH40" s="160"/>
      <c r="GI40" s="160"/>
      <c r="GJ40" s="160"/>
      <c r="GK40" s="160"/>
      <c r="GL40" s="160"/>
      <c r="GM40" s="160"/>
      <c r="GN40" s="160"/>
      <c r="GO40" s="160"/>
      <c r="GP40" s="160"/>
    </row>
    <row r="41" spans="1:198" s="161" customFormat="1" ht="15.6">
      <c r="A41" s="545">
        <v>3.9</v>
      </c>
      <c r="B41" s="546" t="s">
        <v>897</v>
      </c>
      <c r="C41" s="547"/>
      <c r="D41" s="547"/>
      <c r="E41" s="547"/>
      <c r="F41" s="576"/>
      <c r="G41" s="159"/>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0"/>
      <c r="BX41" s="160"/>
      <c r="BY41" s="160"/>
      <c r="BZ41" s="160"/>
      <c r="CA41" s="160"/>
      <c r="CB41" s="160"/>
      <c r="CC41" s="160"/>
      <c r="CD41" s="160"/>
      <c r="CE41" s="160"/>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0"/>
      <c r="DB41" s="160"/>
      <c r="DC41" s="160"/>
      <c r="DD41" s="160"/>
      <c r="DE41" s="160"/>
      <c r="DF41" s="160"/>
      <c r="DG41" s="160"/>
      <c r="DH41" s="160"/>
      <c r="DI41" s="160"/>
      <c r="DJ41" s="160"/>
      <c r="DK41" s="160"/>
      <c r="DL41" s="160"/>
      <c r="DM41" s="160"/>
      <c r="DN41" s="160"/>
      <c r="DO41" s="160"/>
      <c r="DP41" s="160"/>
      <c r="DQ41" s="160"/>
      <c r="DR41" s="160"/>
      <c r="DS41" s="160"/>
      <c r="DT41" s="160"/>
      <c r="DU41" s="160"/>
      <c r="DV41" s="160"/>
      <c r="DW41" s="160"/>
      <c r="DX41" s="160"/>
      <c r="DY41" s="160"/>
      <c r="DZ41" s="160"/>
      <c r="EA41" s="160"/>
      <c r="EB41" s="160"/>
      <c r="EC41" s="160"/>
      <c r="ED41" s="160"/>
      <c r="EE41" s="160"/>
      <c r="EF41" s="160"/>
      <c r="EG41" s="160"/>
      <c r="EH41" s="160"/>
      <c r="EI41" s="160"/>
      <c r="EJ41" s="160"/>
      <c r="EK41" s="160"/>
      <c r="EL41" s="160"/>
      <c r="EM41" s="160"/>
      <c r="EN41" s="160"/>
      <c r="EO41" s="160"/>
      <c r="EP41" s="160"/>
      <c r="EQ41" s="160"/>
      <c r="ER41" s="160"/>
      <c r="ES41" s="160"/>
      <c r="ET41" s="160"/>
      <c r="EU41" s="160"/>
      <c r="EV41" s="160"/>
      <c r="EW41" s="160"/>
      <c r="EX41" s="160"/>
      <c r="EY41" s="160"/>
      <c r="EZ41" s="160"/>
      <c r="FA41" s="160"/>
      <c r="FB41" s="160"/>
      <c r="FC41" s="160"/>
      <c r="FD41" s="160"/>
      <c r="FE41" s="160"/>
      <c r="FF41" s="160"/>
      <c r="FG41" s="160"/>
      <c r="FH41" s="160"/>
      <c r="FI41" s="160"/>
      <c r="FJ41" s="160"/>
      <c r="FK41" s="160"/>
      <c r="FL41" s="160"/>
      <c r="FM41" s="160"/>
      <c r="FN41" s="160"/>
      <c r="FO41" s="160"/>
      <c r="FP41" s="160"/>
      <c r="FQ41" s="160"/>
      <c r="FR41" s="160"/>
      <c r="FS41" s="160"/>
      <c r="FT41" s="160"/>
      <c r="FU41" s="160"/>
      <c r="FV41" s="160"/>
      <c r="FW41" s="160"/>
      <c r="FX41" s="160"/>
      <c r="FY41" s="160"/>
      <c r="FZ41" s="160"/>
      <c r="GA41" s="160"/>
      <c r="GB41" s="160"/>
      <c r="GC41" s="160"/>
      <c r="GD41" s="160"/>
      <c r="GE41" s="160"/>
      <c r="GF41" s="160"/>
      <c r="GG41" s="160"/>
      <c r="GH41" s="160"/>
      <c r="GI41" s="160"/>
      <c r="GJ41" s="160"/>
      <c r="GK41" s="160"/>
      <c r="GL41" s="160"/>
      <c r="GM41" s="160"/>
      <c r="GN41" s="160"/>
      <c r="GO41" s="160"/>
      <c r="GP41" s="160"/>
    </row>
    <row r="42" spans="1:198" s="161" customFormat="1" ht="115.2">
      <c r="A42" s="548"/>
      <c r="B42" s="551" t="s">
        <v>898</v>
      </c>
      <c r="C42" s="547"/>
      <c r="D42" s="547"/>
      <c r="E42" s="547"/>
      <c r="F42" s="576"/>
      <c r="G42" s="159"/>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160"/>
      <c r="BU42" s="160"/>
      <c r="BV42" s="160"/>
      <c r="BW42" s="160"/>
      <c r="BX42" s="160"/>
      <c r="BY42" s="160"/>
      <c r="BZ42" s="160"/>
      <c r="CA42" s="160"/>
      <c r="CB42" s="160"/>
      <c r="CC42" s="160"/>
      <c r="CD42" s="160"/>
      <c r="CE42" s="160"/>
      <c r="CF42" s="160"/>
      <c r="CG42" s="160"/>
      <c r="CH42" s="160"/>
      <c r="CI42" s="160"/>
      <c r="CJ42" s="160"/>
      <c r="CK42" s="160"/>
      <c r="CL42" s="160"/>
      <c r="CM42" s="160"/>
      <c r="CN42" s="160"/>
      <c r="CO42" s="160"/>
      <c r="CP42" s="160"/>
      <c r="CQ42" s="160"/>
      <c r="CR42" s="160"/>
      <c r="CS42" s="160"/>
      <c r="CT42" s="160"/>
      <c r="CU42" s="160"/>
      <c r="CV42" s="160"/>
      <c r="CW42" s="160"/>
      <c r="CX42" s="160"/>
      <c r="CY42" s="160"/>
      <c r="CZ42" s="160"/>
      <c r="DA42" s="160"/>
      <c r="DB42" s="160"/>
      <c r="DC42" s="160"/>
      <c r="DD42" s="160"/>
      <c r="DE42" s="160"/>
      <c r="DF42" s="160"/>
      <c r="DG42" s="160"/>
      <c r="DH42" s="160"/>
      <c r="DI42" s="160"/>
      <c r="DJ42" s="160"/>
      <c r="DK42" s="160"/>
      <c r="DL42" s="160"/>
      <c r="DM42" s="160"/>
      <c r="DN42" s="160"/>
      <c r="DO42" s="160"/>
      <c r="DP42" s="160"/>
      <c r="DQ42" s="160"/>
      <c r="DR42" s="160"/>
      <c r="DS42" s="160"/>
      <c r="DT42" s="160"/>
      <c r="DU42" s="160"/>
      <c r="DV42" s="160"/>
      <c r="DW42" s="160"/>
      <c r="DX42" s="160"/>
      <c r="DY42" s="160"/>
      <c r="DZ42" s="160"/>
      <c r="EA42" s="160"/>
      <c r="EB42" s="160"/>
      <c r="EC42" s="160"/>
      <c r="ED42" s="160"/>
      <c r="EE42" s="160"/>
      <c r="EF42" s="160"/>
      <c r="EG42" s="160"/>
      <c r="EH42" s="160"/>
      <c r="EI42" s="160"/>
      <c r="EJ42" s="160"/>
      <c r="EK42" s="160"/>
      <c r="EL42" s="160"/>
      <c r="EM42" s="160"/>
      <c r="EN42" s="160"/>
      <c r="EO42" s="160"/>
      <c r="EP42" s="160"/>
      <c r="EQ42" s="160"/>
      <c r="ER42" s="160"/>
      <c r="ES42" s="160"/>
      <c r="ET42" s="160"/>
      <c r="EU42" s="160"/>
      <c r="EV42" s="160"/>
      <c r="EW42" s="160"/>
      <c r="EX42" s="160"/>
      <c r="EY42" s="160"/>
      <c r="EZ42" s="160"/>
      <c r="FA42" s="160"/>
      <c r="FB42" s="160"/>
      <c r="FC42" s="160"/>
      <c r="FD42" s="160"/>
      <c r="FE42" s="160"/>
      <c r="FF42" s="160"/>
      <c r="FG42" s="160"/>
      <c r="FH42" s="160"/>
      <c r="FI42" s="160"/>
      <c r="FJ42" s="160"/>
      <c r="FK42" s="160"/>
      <c r="FL42" s="160"/>
      <c r="FM42" s="160"/>
      <c r="FN42" s="160"/>
      <c r="FO42" s="160"/>
      <c r="FP42" s="160"/>
      <c r="FQ42" s="160"/>
      <c r="FR42" s="160"/>
      <c r="FS42" s="160"/>
      <c r="FT42" s="160"/>
      <c r="FU42" s="160"/>
      <c r="FV42" s="160"/>
      <c r="FW42" s="160"/>
      <c r="FX42" s="160"/>
      <c r="FY42" s="160"/>
      <c r="FZ42" s="160"/>
      <c r="GA42" s="160"/>
      <c r="GB42" s="160"/>
      <c r="GC42" s="160"/>
      <c r="GD42" s="160"/>
      <c r="GE42" s="160"/>
      <c r="GF42" s="160"/>
      <c r="GG42" s="160"/>
      <c r="GH42" s="160"/>
      <c r="GI42" s="160"/>
      <c r="GJ42" s="160"/>
      <c r="GK42" s="160"/>
      <c r="GL42" s="160"/>
      <c r="GM42" s="160"/>
      <c r="GN42" s="160"/>
      <c r="GO42" s="160"/>
      <c r="GP42" s="160"/>
    </row>
    <row r="43" spans="1:198" s="161" customFormat="1" ht="16.2">
      <c r="A43" s="548" t="s">
        <v>510</v>
      </c>
      <c r="B43" s="549" t="s">
        <v>899</v>
      </c>
      <c r="C43" s="547" t="s">
        <v>500</v>
      </c>
      <c r="D43" s="547">
        <f>CEILING(51*1.2,1)</f>
        <v>62</v>
      </c>
      <c r="E43" s="547"/>
      <c r="F43" s="576"/>
      <c r="G43" s="159"/>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c r="DC43" s="160"/>
      <c r="DD43" s="160"/>
      <c r="DE43" s="160"/>
      <c r="DF43" s="160"/>
      <c r="DG43" s="160"/>
      <c r="DH43" s="160"/>
      <c r="DI43" s="160"/>
      <c r="DJ43" s="160"/>
      <c r="DK43" s="160"/>
      <c r="DL43" s="160"/>
      <c r="DM43" s="160"/>
      <c r="DN43" s="160"/>
      <c r="DO43" s="160"/>
      <c r="DP43" s="160"/>
      <c r="DQ43" s="160"/>
      <c r="DR43" s="160"/>
      <c r="DS43" s="160"/>
      <c r="DT43" s="160"/>
      <c r="DU43" s="160"/>
      <c r="DV43" s="160"/>
      <c r="DW43" s="160"/>
      <c r="DX43" s="160"/>
      <c r="DY43" s="160"/>
      <c r="DZ43" s="160"/>
      <c r="EA43" s="160"/>
      <c r="EB43" s="160"/>
      <c r="EC43" s="160"/>
      <c r="ED43" s="160"/>
      <c r="EE43" s="160"/>
      <c r="EF43" s="160"/>
      <c r="EG43" s="160"/>
      <c r="EH43" s="160"/>
      <c r="EI43" s="160"/>
      <c r="EJ43" s="160"/>
      <c r="EK43" s="160"/>
      <c r="EL43" s="160"/>
      <c r="EM43" s="160"/>
      <c r="EN43" s="160"/>
      <c r="EO43" s="160"/>
      <c r="EP43" s="160"/>
      <c r="EQ43" s="160"/>
      <c r="ER43" s="160"/>
      <c r="ES43" s="160"/>
      <c r="ET43" s="160"/>
      <c r="EU43" s="160"/>
      <c r="EV43" s="160"/>
      <c r="EW43" s="160"/>
      <c r="EX43" s="160"/>
      <c r="EY43" s="160"/>
      <c r="EZ43" s="160"/>
      <c r="FA43" s="160"/>
      <c r="FB43" s="160"/>
      <c r="FC43" s="160"/>
      <c r="FD43" s="160"/>
      <c r="FE43" s="160"/>
      <c r="FF43" s="160"/>
      <c r="FG43" s="160"/>
      <c r="FH43" s="160"/>
      <c r="FI43" s="160"/>
      <c r="FJ43" s="160"/>
      <c r="FK43" s="160"/>
      <c r="FL43" s="160"/>
      <c r="FM43" s="160"/>
      <c r="FN43" s="160"/>
      <c r="FO43" s="160"/>
      <c r="FP43" s="160"/>
      <c r="FQ43" s="160"/>
      <c r="FR43" s="160"/>
      <c r="FS43" s="160"/>
      <c r="FT43" s="160"/>
      <c r="FU43" s="160"/>
      <c r="FV43" s="160"/>
      <c r="FW43" s="160"/>
      <c r="FX43" s="160"/>
      <c r="FY43" s="160"/>
      <c r="FZ43" s="160"/>
      <c r="GA43" s="160"/>
      <c r="GB43" s="160"/>
      <c r="GC43" s="160"/>
      <c r="GD43" s="160"/>
      <c r="GE43" s="160"/>
      <c r="GF43" s="160"/>
      <c r="GG43" s="160"/>
      <c r="GH43" s="160"/>
      <c r="GI43" s="160"/>
      <c r="GJ43" s="160"/>
      <c r="GK43" s="160"/>
      <c r="GL43" s="160"/>
      <c r="GM43" s="160"/>
      <c r="GN43" s="160"/>
      <c r="GO43" s="160"/>
      <c r="GP43" s="160"/>
    </row>
    <row r="44" spans="1:198" s="171" customFormat="1" ht="15.6">
      <c r="A44" s="542"/>
      <c r="B44" s="521" t="s">
        <v>693</v>
      </c>
      <c r="C44" s="514"/>
      <c r="D44" s="514"/>
      <c r="E44" s="514"/>
      <c r="F44" s="577"/>
      <c r="G44" s="169"/>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0"/>
      <c r="CG44" s="170"/>
      <c r="CH44" s="170"/>
      <c r="CI44" s="170"/>
      <c r="CJ44" s="170"/>
      <c r="CK44" s="170"/>
      <c r="CL44" s="170"/>
      <c r="CM44" s="170"/>
      <c r="CN44" s="170"/>
      <c r="CO44" s="170"/>
      <c r="CP44" s="170"/>
      <c r="CQ44" s="170"/>
      <c r="CR44" s="170"/>
      <c r="CS44" s="170"/>
      <c r="CT44" s="170"/>
      <c r="CU44" s="170"/>
      <c r="CV44" s="170"/>
      <c r="CW44" s="170"/>
      <c r="CX44" s="170"/>
      <c r="CY44" s="170"/>
      <c r="CZ44" s="170"/>
      <c r="DA44" s="170"/>
      <c r="DB44" s="170"/>
      <c r="DC44" s="170"/>
      <c r="DD44" s="170"/>
      <c r="DE44" s="170"/>
      <c r="DF44" s="170"/>
      <c r="DG44" s="170"/>
      <c r="DH44" s="170"/>
      <c r="DI44" s="170"/>
      <c r="DJ44" s="170"/>
      <c r="DK44" s="170"/>
      <c r="DL44" s="170"/>
      <c r="DM44" s="170"/>
      <c r="DN44" s="170"/>
      <c r="DO44" s="170"/>
      <c r="DP44" s="170"/>
      <c r="DQ44" s="170"/>
      <c r="DR44" s="170"/>
      <c r="DS44" s="170"/>
      <c r="DT44" s="170"/>
      <c r="DU44" s="170"/>
      <c r="DV44" s="170"/>
      <c r="DW44" s="170"/>
      <c r="DX44" s="170"/>
      <c r="DY44" s="170"/>
      <c r="DZ44" s="170"/>
      <c r="EA44" s="170"/>
      <c r="EB44" s="170"/>
      <c r="EC44" s="170"/>
      <c r="ED44" s="170"/>
      <c r="EE44" s="170"/>
      <c r="EF44" s="170"/>
      <c r="EG44" s="170"/>
      <c r="EH44" s="170"/>
      <c r="EI44" s="170"/>
      <c r="EJ44" s="170"/>
      <c r="EK44" s="170"/>
      <c r="EL44" s="170"/>
      <c r="EM44" s="170"/>
      <c r="EN44" s="170"/>
      <c r="EO44" s="170"/>
      <c r="EP44" s="170"/>
      <c r="EQ44" s="170"/>
      <c r="ER44" s="170"/>
      <c r="ES44" s="170"/>
      <c r="ET44" s="170"/>
      <c r="EU44" s="170"/>
      <c r="EV44" s="170"/>
      <c r="EW44" s="170"/>
      <c r="EX44" s="170"/>
      <c r="EY44" s="170"/>
      <c r="EZ44" s="170"/>
      <c r="FA44" s="170"/>
      <c r="FB44" s="170"/>
      <c r="FC44" s="170"/>
      <c r="FD44" s="170"/>
      <c r="FE44" s="170"/>
      <c r="FF44" s="170"/>
      <c r="FG44" s="170"/>
      <c r="FH44" s="170"/>
      <c r="FI44" s="170"/>
      <c r="FJ44" s="170"/>
      <c r="FK44" s="170"/>
      <c r="FL44" s="170"/>
      <c r="FM44" s="170"/>
      <c r="FN44" s="170"/>
      <c r="FO44" s="170"/>
      <c r="FP44" s="170"/>
      <c r="FQ44" s="170"/>
      <c r="FR44" s="170"/>
      <c r="FS44" s="170"/>
      <c r="FT44" s="170"/>
      <c r="FU44" s="170"/>
      <c r="FV44" s="170"/>
      <c r="FW44" s="170"/>
      <c r="FX44" s="170"/>
      <c r="FY44" s="170"/>
      <c r="FZ44" s="170"/>
      <c r="GA44" s="170"/>
      <c r="GB44" s="170"/>
      <c r="GC44" s="170"/>
      <c r="GD44" s="170"/>
      <c r="GE44" s="170"/>
      <c r="GF44" s="170"/>
      <c r="GG44" s="170"/>
      <c r="GH44" s="170"/>
      <c r="GI44" s="170"/>
      <c r="GJ44" s="170"/>
      <c r="GK44" s="170"/>
      <c r="GL44" s="170"/>
      <c r="GM44" s="170"/>
      <c r="GN44" s="170"/>
      <c r="GO44" s="170"/>
      <c r="GP44" s="170"/>
    </row>
    <row r="45" spans="1:198" s="161" customFormat="1" ht="15.6">
      <c r="A45" s="845" t="s">
        <v>260</v>
      </c>
      <c r="B45" s="846" t="s">
        <v>13</v>
      </c>
      <c r="C45" s="847" t="s">
        <v>330</v>
      </c>
      <c r="D45" s="848" t="s">
        <v>331</v>
      </c>
      <c r="E45" s="849" t="s">
        <v>332</v>
      </c>
      <c r="F45" s="851"/>
      <c r="G45" s="159"/>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0"/>
      <c r="CJ45" s="160"/>
      <c r="CK45" s="160"/>
      <c r="CL45" s="160"/>
      <c r="CM45" s="160"/>
      <c r="CN45" s="160"/>
      <c r="CO45" s="160"/>
      <c r="CP45" s="160"/>
      <c r="CQ45" s="160"/>
      <c r="CR45" s="160"/>
      <c r="CS45" s="160"/>
      <c r="CT45" s="160"/>
      <c r="CU45" s="160"/>
      <c r="CV45" s="160"/>
      <c r="CW45" s="160"/>
      <c r="CX45" s="160"/>
      <c r="CY45" s="160"/>
      <c r="CZ45" s="160"/>
      <c r="DA45" s="160"/>
      <c r="DB45" s="160"/>
      <c r="DC45" s="160"/>
      <c r="DD45" s="160"/>
      <c r="DE45" s="160"/>
      <c r="DF45" s="160"/>
      <c r="DG45" s="160"/>
      <c r="DH45" s="160"/>
      <c r="DI45" s="160"/>
      <c r="DJ45" s="160"/>
      <c r="DK45" s="160"/>
      <c r="DL45" s="160"/>
      <c r="DM45" s="160"/>
      <c r="DN45" s="160"/>
      <c r="DO45" s="160"/>
      <c r="DP45" s="160"/>
      <c r="DQ45" s="160"/>
      <c r="DR45" s="160"/>
      <c r="DS45" s="160"/>
      <c r="DT45" s="160"/>
      <c r="DU45" s="160"/>
      <c r="DV45" s="160"/>
      <c r="DW45" s="160"/>
      <c r="DX45" s="160"/>
      <c r="DY45" s="160"/>
      <c r="DZ45" s="160"/>
      <c r="EA45" s="160"/>
      <c r="EB45" s="160"/>
      <c r="EC45" s="160"/>
      <c r="ED45" s="160"/>
      <c r="EE45" s="160"/>
      <c r="EF45" s="160"/>
      <c r="EG45" s="160"/>
      <c r="EH45" s="160"/>
      <c r="EI45" s="160"/>
      <c r="EJ45" s="160"/>
      <c r="EK45" s="160"/>
      <c r="EL45" s="160"/>
      <c r="EM45" s="160"/>
      <c r="EN45" s="160"/>
      <c r="EO45" s="160"/>
      <c r="EP45" s="160"/>
      <c r="EQ45" s="160"/>
      <c r="ER45" s="160"/>
      <c r="ES45" s="160"/>
      <c r="ET45" s="160"/>
      <c r="EU45" s="160"/>
      <c r="EV45" s="160"/>
      <c r="EW45" s="160"/>
      <c r="EX45" s="160"/>
      <c r="EY45" s="160"/>
      <c r="EZ45" s="160"/>
      <c r="FA45" s="160"/>
      <c r="FB45" s="160"/>
      <c r="FC45" s="160"/>
      <c r="FD45" s="160"/>
      <c r="FE45" s="160"/>
      <c r="FF45" s="160"/>
      <c r="FG45" s="160"/>
      <c r="FH45" s="160"/>
      <c r="FI45" s="160"/>
      <c r="FJ45" s="160"/>
      <c r="FK45" s="160"/>
      <c r="FL45" s="160"/>
      <c r="FM45" s="160"/>
      <c r="FN45" s="160"/>
      <c r="FO45" s="160"/>
      <c r="FP45" s="160"/>
      <c r="FQ45" s="160"/>
      <c r="FR45" s="160"/>
      <c r="FS45" s="160"/>
      <c r="FT45" s="160"/>
      <c r="FU45" s="160"/>
      <c r="FV45" s="160"/>
      <c r="FW45" s="160"/>
      <c r="FX45" s="160"/>
      <c r="FY45" s="160"/>
      <c r="FZ45" s="160"/>
      <c r="GA45" s="160"/>
      <c r="GB45" s="160"/>
      <c r="GC45" s="160"/>
      <c r="GD45" s="160"/>
      <c r="GE45" s="160"/>
      <c r="GF45" s="160"/>
      <c r="GG45" s="160"/>
      <c r="GH45" s="160"/>
      <c r="GI45" s="160"/>
      <c r="GJ45" s="160"/>
      <c r="GK45" s="160"/>
      <c r="GL45" s="160"/>
      <c r="GM45" s="160"/>
      <c r="GN45" s="160"/>
      <c r="GO45" s="160"/>
      <c r="GP45" s="160"/>
    </row>
    <row r="46" spans="1:198" s="161" customFormat="1" ht="15.6">
      <c r="A46" s="545"/>
      <c r="B46" s="546" t="s">
        <v>900</v>
      </c>
      <c r="C46" s="547"/>
      <c r="D46" s="547"/>
      <c r="E46" s="547"/>
      <c r="F46" s="576"/>
      <c r="G46" s="159"/>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160"/>
      <c r="BY46" s="160"/>
      <c r="BZ46" s="160"/>
      <c r="CA46" s="160"/>
      <c r="CB46" s="160"/>
      <c r="CC46" s="160"/>
      <c r="CD46" s="160"/>
      <c r="CE46" s="160"/>
      <c r="CF46" s="160"/>
      <c r="CG46" s="160"/>
      <c r="CH46" s="160"/>
      <c r="CI46" s="160"/>
      <c r="CJ46" s="160"/>
      <c r="CK46" s="160"/>
      <c r="CL46" s="160"/>
      <c r="CM46" s="160"/>
      <c r="CN46" s="160"/>
      <c r="CO46" s="160"/>
      <c r="CP46" s="160"/>
      <c r="CQ46" s="160"/>
      <c r="CR46" s="160"/>
      <c r="CS46" s="160"/>
      <c r="CT46" s="160"/>
      <c r="CU46" s="160"/>
      <c r="CV46" s="160"/>
      <c r="CW46" s="160"/>
      <c r="CX46" s="160"/>
      <c r="CY46" s="160"/>
      <c r="CZ46" s="160"/>
      <c r="DA46" s="160"/>
      <c r="DB46" s="160"/>
      <c r="DC46" s="160"/>
      <c r="DD46" s="160"/>
      <c r="DE46" s="160"/>
      <c r="DF46" s="160"/>
      <c r="DG46" s="160"/>
      <c r="DH46" s="160"/>
      <c r="DI46" s="160"/>
      <c r="DJ46" s="160"/>
      <c r="DK46" s="160"/>
      <c r="DL46" s="160"/>
      <c r="DM46" s="160"/>
      <c r="DN46" s="160"/>
      <c r="DO46" s="160"/>
      <c r="DP46" s="160"/>
      <c r="DQ46" s="160"/>
      <c r="DR46" s="160"/>
      <c r="DS46" s="160"/>
      <c r="DT46" s="160"/>
      <c r="DU46" s="160"/>
      <c r="DV46" s="160"/>
      <c r="DW46" s="160"/>
      <c r="DX46" s="160"/>
      <c r="DY46" s="160"/>
      <c r="DZ46" s="160"/>
      <c r="EA46" s="160"/>
      <c r="EB46" s="160"/>
      <c r="EC46" s="160"/>
      <c r="ED46" s="160"/>
      <c r="EE46" s="160"/>
      <c r="EF46" s="160"/>
      <c r="EG46" s="160"/>
      <c r="EH46" s="160"/>
      <c r="EI46" s="160"/>
      <c r="EJ46" s="160"/>
      <c r="EK46" s="160"/>
      <c r="EL46" s="160"/>
      <c r="EM46" s="160"/>
      <c r="EN46" s="160"/>
      <c r="EO46" s="160"/>
      <c r="EP46" s="160"/>
      <c r="EQ46" s="160"/>
      <c r="ER46" s="160"/>
      <c r="ES46" s="160"/>
      <c r="ET46" s="160"/>
      <c r="EU46" s="160"/>
      <c r="EV46" s="160"/>
      <c r="EW46" s="160"/>
      <c r="EX46" s="160"/>
      <c r="EY46" s="160"/>
      <c r="EZ46" s="160"/>
      <c r="FA46" s="160"/>
      <c r="FB46" s="160"/>
      <c r="FC46" s="160"/>
      <c r="FD46" s="160"/>
      <c r="FE46" s="160"/>
      <c r="FF46" s="160"/>
      <c r="FG46" s="160"/>
      <c r="FH46" s="160"/>
      <c r="FI46" s="160"/>
      <c r="FJ46" s="160"/>
      <c r="FK46" s="160"/>
      <c r="FL46" s="160"/>
      <c r="FM46" s="160"/>
      <c r="FN46" s="160"/>
      <c r="FO46" s="160"/>
      <c r="FP46" s="160"/>
      <c r="FQ46" s="160"/>
      <c r="FR46" s="160"/>
      <c r="FS46" s="160"/>
      <c r="FT46" s="160"/>
      <c r="FU46" s="160"/>
      <c r="FV46" s="160"/>
      <c r="FW46" s="160"/>
      <c r="FX46" s="160"/>
      <c r="FY46" s="160"/>
      <c r="FZ46" s="160"/>
      <c r="GA46" s="160"/>
      <c r="GB46" s="160"/>
      <c r="GC46" s="160"/>
      <c r="GD46" s="160"/>
      <c r="GE46" s="160"/>
      <c r="GF46" s="160"/>
      <c r="GG46" s="160"/>
      <c r="GH46" s="160"/>
      <c r="GI46" s="160"/>
      <c r="GJ46" s="160"/>
      <c r="GK46" s="160"/>
      <c r="GL46" s="160"/>
      <c r="GM46" s="160"/>
      <c r="GN46" s="160"/>
      <c r="GO46" s="160"/>
      <c r="GP46" s="160"/>
    </row>
    <row r="47" spans="1:198" s="66" customFormat="1">
      <c r="A47" s="1169"/>
      <c r="B47" s="1170" t="s">
        <v>1100</v>
      </c>
      <c r="C47" s="1171"/>
      <c r="D47" s="1172"/>
      <c r="E47" s="1171"/>
      <c r="F47" s="1173"/>
    </row>
    <row r="48" spans="1:198" s="1178" customFormat="1">
      <c r="A48" s="1174" t="s">
        <v>634</v>
      </c>
      <c r="B48" s="1062" t="s">
        <v>1101</v>
      </c>
      <c r="C48" s="1175" t="s">
        <v>282</v>
      </c>
      <c r="D48" s="1176">
        <f>CEILING((10.2+37.7+4.4)*0.2*0.4,1)</f>
        <v>5</v>
      </c>
      <c r="E48" s="1175"/>
      <c r="F48" s="1177"/>
      <c r="H48" s="1178">
        <f>(174.3*0.4*0.45)+(92.15*0.4*0.45)</f>
        <v>47.961000000000013</v>
      </c>
    </row>
    <row r="49" spans="1:7" s="1178" customFormat="1">
      <c r="A49" s="1174"/>
      <c r="B49" s="1062" t="s">
        <v>1675</v>
      </c>
      <c r="C49" s="1175" t="s">
        <v>282</v>
      </c>
      <c r="D49" s="1179">
        <f>CEILING(74*0.15,1)</f>
        <v>12</v>
      </c>
      <c r="E49" s="1180"/>
      <c r="F49" s="1181"/>
    </row>
    <row r="50" spans="1:7" s="1178" customFormat="1">
      <c r="A50" s="1174"/>
      <c r="B50" s="1182" t="s">
        <v>1676</v>
      </c>
      <c r="C50" s="1175" t="s">
        <v>282</v>
      </c>
      <c r="D50" s="1179">
        <f>CEILING(11*0.4*0.4*3.3,1)</f>
        <v>6</v>
      </c>
      <c r="E50" s="1180"/>
      <c r="F50" s="1181"/>
    </row>
    <row r="51" spans="1:7" s="66" customFormat="1">
      <c r="A51" s="1169"/>
      <c r="B51" s="1170" t="s">
        <v>534</v>
      </c>
      <c r="C51" s="1171"/>
      <c r="D51" s="1172"/>
      <c r="E51" s="1171"/>
      <c r="F51" s="1173"/>
    </row>
    <row r="52" spans="1:7" s="66" customFormat="1">
      <c r="A52" s="1169"/>
      <c r="B52" s="1170" t="s">
        <v>535</v>
      </c>
      <c r="C52" s="1171"/>
      <c r="D52" s="1172"/>
      <c r="E52" s="1171"/>
      <c r="F52" s="1173"/>
    </row>
    <row r="53" spans="1:7" s="66" customFormat="1">
      <c r="A53" s="1169" t="s">
        <v>635</v>
      </c>
      <c r="B53" s="1183" t="s">
        <v>1102</v>
      </c>
      <c r="C53" s="1171" t="s">
        <v>287</v>
      </c>
      <c r="D53" s="1048">
        <f>CEILING((10.2+37.7+4.4)/0.2*0.7*0.395,1)</f>
        <v>73</v>
      </c>
      <c r="E53" s="1171"/>
      <c r="F53" s="1173"/>
      <c r="G53" s="66">
        <f>D53*110</f>
        <v>8030</v>
      </c>
    </row>
    <row r="54" spans="1:7" s="66" customFormat="1">
      <c r="A54" s="1169" t="s">
        <v>1677</v>
      </c>
      <c r="B54" s="1183" t="s">
        <v>1103</v>
      </c>
      <c r="C54" s="1171" t="s">
        <v>287</v>
      </c>
      <c r="D54" s="1048">
        <f>CEILING((10.2+37.7+4.4)*4*1.15*0.888,1)</f>
        <v>214</v>
      </c>
      <c r="E54" s="1171"/>
      <c r="F54" s="1173"/>
    </row>
    <row r="55" spans="1:7" s="66" customFormat="1">
      <c r="A55" s="1169"/>
      <c r="B55" s="1184" t="s">
        <v>1104</v>
      </c>
      <c r="C55" s="1171"/>
      <c r="D55" s="1172"/>
      <c r="E55" s="1171"/>
      <c r="F55" s="1173"/>
    </row>
    <row r="56" spans="1:7" s="66" customFormat="1">
      <c r="A56" s="1169" t="s">
        <v>1678</v>
      </c>
      <c r="B56" s="1183" t="s">
        <v>1105</v>
      </c>
      <c r="C56" s="1171" t="s">
        <v>8</v>
      </c>
      <c r="D56" s="1048">
        <f>CEILING((10.2+37.7+4.4)*2*0.2,1)</f>
        <v>21</v>
      </c>
      <c r="E56" s="1171"/>
      <c r="F56" s="1173"/>
    </row>
    <row r="57" spans="1:7" s="66" customFormat="1">
      <c r="A57" s="1169"/>
      <c r="B57" s="1183" t="s">
        <v>1684</v>
      </c>
      <c r="C57" s="1171" t="s">
        <v>8</v>
      </c>
      <c r="D57" s="1048">
        <v>74</v>
      </c>
      <c r="E57" s="1171"/>
      <c r="F57" s="1173"/>
    </row>
    <row r="58" spans="1:7" s="1189" customFormat="1">
      <c r="A58" s="1185"/>
      <c r="B58" s="1185" t="s">
        <v>1714</v>
      </c>
      <c r="C58" s="1186"/>
      <c r="D58" s="1187"/>
      <c r="E58" s="1186"/>
      <c r="F58" s="1188"/>
    </row>
    <row r="59" spans="1:7" s="1189" customFormat="1">
      <c r="A59" s="1200"/>
      <c r="B59" s="1200"/>
      <c r="C59" s="1201"/>
      <c r="D59" s="1202"/>
      <c r="E59" s="1201"/>
      <c r="F59" s="1203"/>
    </row>
    <row r="60" spans="1:7" s="66" customFormat="1">
      <c r="A60" s="1204">
        <v>2.2999999999999998</v>
      </c>
      <c r="B60" s="1184" t="s">
        <v>1107</v>
      </c>
      <c r="C60" s="1171"/>
      <c r="D60" s="1172"/>
      <c r="E60" s="1171"/>
      <c r="F60" s="1173"/>
    </row>
    <row r="61" spans="1:7" s="66" customFormat="1">
      <c r="A61" s="1169"/>
      <c r="B61" s="1170"/>
      <c r="C61" s="1171"/>
      <c r="D61" s="1172"/>
      <c r="E61" s="1171"/>
      <c r="F61" s="1173"/>
    </row>
    <row r="62" spans="1:7" s="66" customFormat="1">
      <c r="A62" s="1169"/>
      <c r="B62" s="1205"/>
      <c r="C62" s="1171"/>
      <c r="D62" s="1172"/>
      <c r="E62" s="1171"/>
      <c r="F62" s="1173"/>
    </row>
    <row r="63" spans="1:7" s="66" customFormat="1" ht="43.2">
      <c r="A63" s="1169"/>
      <c r="B63" s="1196" t="s">
        <v>1680</v>
      </c>
      <c r="C63" s="1171"/>
      <c r="D63" s="1176"/>
      <c r="E63" s="1171"/>
      <c r="F63" s="1173"/>
    </row>
    <row r="64" spans="1:7" s="66" customFormat="1">
      <c r="A64" s="1169"/>
      <c r="B64" s="1197"/>
      <c r="C64" s="1171"/>
      <c r="D64" s="1172"/>
      <c r="E64" s="1171"/>
      <c r="F64" s="1173"/>
    </row>
    <row r="65" spans="1:7" s="66" customFormat="1">
      <c r="A65" s="1169" t="s">
        <v>638</v>
      </c>
      <c r="B65" s="1198" t="s">
        <v>1681</v>
      </c>
      <c r="C65" s="1171" t="s">
        <v>8</v>
      </c>
      <c r="D65" s="1199">
        <f>CEILING((37.7+10.2)*3,1)</f>
        <v>144</v>
      </c>
      <c r="E65" s="1171"/>
      <c r="F65" s="1173"/>
    </row>
    <row r="66" spans="1:7" s="66" customFormat="1">
      <c r="A66" s="1169" t="s">
        <v>639</v>
      </c>
      <c r="B66" s="1198" t="s">
        <v>1682</v>
      </c>
      <c r="C66" s="1171" t="s">
        <v>8</v>
      </c>
      <c r="D66" s="1199">
        <f>CEILING(4*3,1)</f>
        <v>12</v>
      </c>
      <c r="E66" s="1171"/>
      <c r="F66" s="1173"/>
    </row>
    <row r="67" spans="1:7" s="66" customFormat="1">
      <c r="A67" s="1169" t="s">
        <v>640</v>
      </c>
      <c r="B67" s="1170" t="s">
        <v>1109</v>
      </c>
      <c r="C67" s="1171"/>
      <c r="D67" s="1172"/>
      <c r="E67" s="1171"/>
      <c r="F67" s="1173"/>
    </row>
    <row r="68" spans="1:7" s="66" customFormat="1">
      <c r="A68" s="1169" t="s">
        <v>640</v>
      </c>
      <c r="B68" s="1183" t="s">
        <v>1110</v>
      </c>
      <c r="C68" s="1171" t="s">
        <v>9</v>
      </c>
      <c r="D68" s="1199">
        <f>CEILING(4,1)</f>
        <v>4</v>
      </c>
      <c r="E68" s="1171"/>
      <c r="F68" s="1173"/>
    </row>
    <row r="69" spans="1:7" s="66" customFormat="1">
      <c r="A69" s="1169" t="s">
        <v>641</v>
      </c>
      <c r="B69" s="1183" t="s">
        <v>1683</v>
      </c>
      <c r="C69" s="1171" t="s">
        <v>9</v>
      </c>
      <c r="D69" s="1199">
        <f>CEILING((37.7+10.2),1)</f>
        <v>48</v>
      </c>
      <c r="E69" s="1171"/>
      <c r="F69" s="1173"/>
    </row>
    <row r="70" spans="1:7" s="66" customFormat="1" ht="15.6">
      <c r="A70" s="1169"/>
      <c r="B70" s="515" t="s">
        <v>413</v>
      </c>
      <c r="C70" s="1186"/>
      <c r="D70" s="1172"/>
      <c r="E70" s="1171"/>
      <c r="F70" s="1188"/>
    </row>
    <row r="71" spans="1:7" s="66" customFormat="1">
      <c r="A71" s="845" t="s">
        <v>260</v>
      </c>
      <c r="B71" s="846" t="s">
        <v>13</v>
      </c>
      <c r="C71" s="847" t="s">
        <v>330</v>
      </c>
      <c r="D71" s="848" t="s">
        <v>331</v>
      </c>
      <c r="E71" s="849" t="s">
        <v>332</v>
      </c>
      <c r="F71" s="850"/>
    </row>
    <row r="72" spans="1:7" s="176" customFormat="1" ht="15.6">
      <c r="A72" s="545">
        <v>3.13</v>
      </c>
      <c r="B72" s="546" t="s">
        <v>1709</v>
      </c>
      <c r="C72" s="547"/>
      <c r="D72" s="547"/>
      <c r="E72" s="547"/>
      <c r="F72" s="576"/>
      <c r="G72" s="175"/>
    </row>
    <row r="73" spans="1:7" s="176" customFormat="1" ht="31.2">
      <c r="A73" s="416" t="s">
        <v>11</v>
      </c>
      <c r="B73" s="162" t="s">
        <v>607</v>
      </c>
      <c r="C73" s="173" t="s">
        <v>11</v>
      </c>
      <c r="D73" s="173"/>
      <c r="E73" s="173"/>
      <c r="F73" s="174"/>
      <c r="G73" s="175"/>
    </row>
    <row r="74" spans="1:7" s="176" customFormat="1" ht="31.2">
      <c r="A74" s="415" t="s">
        <v>1028</v>
      </c>
      <c r="B74" s="164" t="s">
        <v>608</v>
      </c>
      <c r="C74" s="547" t="s">
        <v>500</v>
      </c>
      <c r="D74" s="165">
        <f>CEILING(91*1.15,1)</f>
        <v>105</v>
      </c>
      <c r="E74" s="157"/>
      <c r="F74" s="158"/>
      <c r="G74" s="175"/>
    </row>
    <row r="75" spans="1:7" s="176" customFormat="1" ht="15.6">
      <c r="A75" s="415" t="s">
        <v>1029</v>
      </c>
      <c r="B75" s="173" t="s">
        <v>692</v>
      </c>
      <c r="C75" s="547" t="s">
        <v>325</v>
      </c>
      <c r="D75" s="173">
        <f>CEILING((8.5+6.4)*10,1)</f>
        <v>149</v>
      </c>
      <c r="E75" s="173"/>
      <c r="F75" s="158"/>
      <c r="G75" s="175"/>
    </row>
    <row r="76" spans="1:7" s="176" customFormat="1" ht="15.6">
      <c r="A76" s="415" t="s">
        <v>1030</v>
      </c>
      <c r="B76" s="173" t="s">
        <v>691</v>
      </c>
      <c r="C76" s="547" t="s">
        <v>325</v>
      </c>
      <c r="D76" s="173">
        <f>CEILING(9.1*10,1)</f>
        <v>91</v>
      </c>
      <c r="E76" s="173"/>
      <c r="F76" s="158"/>
      <c r="G76" s="175"/>
    </row>
    <row r="77" spans="1:7" s="176" customFormat="1" ht="15.6">
      <c r="A77" s="415" t="s">
        <v>1031</v>
      </c>
      <c r="B77" s="173" t="s">
        <v>327</v>
      </c>
      <c r="C77" s="547" t="s">
        <v>325</v>
      </c>
      <c r="D77" s="173">
        <f>CEILING(11.45*8,1)</f>
        <v>92</v>
      </c>
      <c r="E77" s="173"/>
      <c r="F77" s="158"/>
      <c r="G77" s="175"/>
    </row>
    <row r="78" spans="1:7" s="176" customFormat="1" ht="15.6">
      <c r="A78" s="415" t="s">
        <v>1032</v>
      </c>
      <c r="B78" s="173" t="s">
        <v>347</v>
      </c>
      <c r="C78" s="547" t="s">
        <v>325</v>
      </c>
      <c r="D78" s="173">
        <f>CEILING(51,1)</f>
        <v>51</v>
      </c>
      <c r="E78" s="173"/>
      <c r="F78" s="158"/>
      <c r="G78" s="175"/>
    </row>
    <row r="79" spans="1:7" s="176" customFormat="1" ht="15.6">
      <c r="A79" s="415" t="s">
        <v>1033</v>
      </c>
      <c r="B79" s="173" t="s">
        <v>609</v>
      </c>
      <c r="C79" s="547" t="s">
        <v>325</v>
      </c>
      <c r="D79" s="173">
        <f>CEILING(10*3*0.5,1)</f>
        <v>15</v>
      </c>
      <c r="E79" s="173"/>
      <c r="F79" s="158"/>
      <c r="G79" s="175"/>
    </row>
    <row r="80" spans="1:7" s="176" customFormat="1" ht="15.6">
      <c r="A80" s="415" t="s">
        <v>1034</v>
      </c>
      <c r="B80" s="173" t="s">
        <v>502</v>
      </c>
      <c r="C80" s="547" t="s">
        <v>325</v>
      </c>
      <c r="D80" s="173">
        <v>16</v>
      </c>
      <c r="E80" s="173"/>
      <c r="F80" s="158"/>
      <c r="G80" s="175"/>
    </row>
    <row r="81" spans="1:7" s="176" customFormat="1" ht="15.6">
      <c r="A81" s="791"/>
      <c r="B81" s="792"/>
      <c r="C81" s="792"/>
      <c r="D81" s="792"/>
      <c r="E81" s="792"/>
      <c r="F81" s="793"/>
      <c r="G81" s="175"/>
    </row>
    <row r="82" spans="1:7" s="176" customFormat="1" ht="15.6">
      <c r="A82" s="416">
        <v>3.14</v>
      </c>
      <c r="B82" s="177" t="s">
        <v>525</v>
      </c>
      <c r="C82" s="173" t="s">
        <v>11</v>
      </c>
      <c r="D82" s="173" t="s">
        <v>11</v>
      </c>
      <c r="E82" s="173"/>
      <c r="F82" s="179"/>
      <c r="G82" s="175"/>
    </row>
    <row r="83" spans="1:7" s="176" customFormat="1" ht="15.6">
      <c r="A83" s="416" t="s">
        <v>1035</v>
      </c>
      <c r="B83" s="173" t="s">
        <v>526</v>
      </c>
      <c r="C83" s="173" t="s">
        <v>11</v>
      </c>
      <c r="D83" s="173" t="s">
        <v>11</v>
      </c>
      <c r="E83" s="173"/>
      <c r="F83" s="179"/>
      <c r="G83" s="175"/>
    </row>
    <row r="84" spans="1:7" s="176" customFormat="1" ht="15.6">
      <c r="A84" s="416" t="s">
        <v>1036</v>
      </c>
      <c r="B84" s="173" t="s">
        <v>610</v>
      </c>
      <c r="C84" s="173" t="s">
        <v>8</v>
      </c>
      <c r="D84" s="173">
        <f>CEILING(91-72,1)</f>
        <v>19</v>
      </c>
      <c r="E84" s="173"/>
      <c r="F84" s="179"/>
      <c r="G84" s="175"/>
    </row>
    <row r="85" spans="1:7" s="176" customFormat="1" ht="15.6">
      <c r="A85" s="416" t="s">
        <v>1037</v>
      </c>
      <c r="B85" s="173" t="s">
        <v>527</v>
      </c>
      <c r="C85" s="173" t="s">
        <v>9</v>
      </c>
      <c r="D85" s="173">
        <v>41</v>
      </c>
      <c r="E85" s="173"/>
      <c r="F85" s="179"/>
      <c r="G85" s="175"/>
    </row>
    <row r="86" spans="1:7" s="176" customFormat="1" ht="15.6">
      <c r="A86" s="824"/>
      <c r="B86" s="825"/>
      <c r="C86" s="825"/>
      <c r="D86" s="825"/>
      <c r="E86" s="825"/>
      <c r="F86" s="826"/>
      <c r="G86" s="175"/>
    </row>
    <row r="87" spans="1:7" s="176" customFormat="1" ht="15.6">
      <c r="A87" s="162">
        <v>3.15</v>
      </c>
      <c r="B87" s="162" t="s">
        <v>303</v>
      </c>
      <c r="C87" s="173" t="s">
        <v>11</v>
      </c>
      <c r="D87" s="173" t="s">
        <v>11</v>
      </c>
      <c r="E87" s="173"/>
      <c r="F87" s="179"/>
      <c r="G87" s="175"/>
    </row>
    <row r="88" spans="1:7" s="176" customFormat="1" ht="31.2">
      <c r="A88" s="417" t="s">
        <v>1038</v>
      </c>
      <c r="B88" s="173" t="s">
        <v>611</v>
      </c>
      <c r="C88" s="173" t="s">
        <v>8</v>
      </c>
      <c r="D88" s="173">
        <f>D84</f>
        <v>19</v>
      </c>
      <c r="E88" s="173"/>
      <c r="F88" s="179"/>
      <c r="G88" s="175"/>
    </row>
    <row r="89" spans="1:7" s="176" customFormat="1" ht="31.2">
      <c r="A89" s="417" t="s">
        <v>1039</v>
      </c>
      <c r="B89" s="173" t="s">
        <v>528</v>
      </c>
      <c r="C89" s="173" t="s">
        <v>9</v>
      </c>
      <c r="D89" s="173">
        <f>D85</f>
        <v>41</v>
      </c>
      <c r="E89" s="173"/>
      <c r="F89" s="179"/>
      <c r="G89" s="175"/>
    </row>
    <row r="90" spans="1:7" s="176" customFormat="1" ht="15.6">
      <c r="A90" s="827"/>
      <c r="B90" s="825"/>
      <c r="C90" s="825"/>
      <c r="D90" s="825"/>
      <c r="E90" s="825"/>
      <c r="F90" s="826"/>
      <c r="G90" s="175"/>
    </row>
    <row r="91" spans="1:7" s="176" customFormat="1" ht="15.6">
      <c r="A91" s="162">
        <v>3.16</v>
      </c>
      <c r="B91" s="177" t="s">
        <v>503</v>
      </c>
      <c r="C91" s="173" t="s">
        <v>11</v>
      </c>
      <c r="D91" s="173" t="s">
        <v>11</v>
      </c>
      <c r="E91" s="173"/>
      <c r="F91" s="179"/>
      <c r="G91" s="175"/>
    </row>
    <row r="92" spans="1:7" s="176" customFormat="1" ht="31.2">
      <c r="A92" s="417" t="s">
        <v>1040</v>
      </c>
      <c r="B92" s="173" t="s">
        <v>612</v>
      </c>
      <c r="C92" s="173" t="s">
        <v>9</v>
      </c>
      <c r="D92" s="173">
        <f>D89</f>
        <v>41</v>
      </c>
      <c r="E92" s="173"/>
      <c r="F92" s="179"/>
      <c r="G92" s="175"/>
    </row>
    <row r="93" spans="1:7" s="176" customFormat="1" ht="15.6">
      <c r="A93" s="417"/>
      <c r="B93" s="825"/>
      <c r="C93" s="825"/>
      <c r="D93" s="825"/>
      <c r="E93" s="825"/>
      <c r="F93" s="826"/>
      <c r="G93" s="175"/>
    </row>
    <row r="94" spans="1:7" s="176" customFormat="1" ht="15.6">
      <c r="A94" s="162">
        <v>3.17</v>
      </c>
      <c r="B94" s="177" t="s">
        <v>490</v>
      </c>
      <c r="C94" s="173" t="s">
        <v>11</v>
      </c>
      <c r="D94" s="173" t="s">
        <v>11</v>
      </c>
      <c r="E94" s="173"/>
      <c r="F94" s="179"/>
      <c r="G94" s="175"/>
    </row>
    <row r="95" spans="1:7" s="176" customFormat="1" ht="31.2">
      <c r="A95" s="416" t="s">
        <v>1041</v>
      </c>
      <c r="B95" s="173" t="s">
        <v>348</v>
      </c>
      <c r="C95" s="173" t="s">
        <v>9</v>
      </c>
      <c r="D95" s="173">
        <f>4*3</f>
        <v>12</v>
      </c>
      <c r="E95" s="173"/>
      <c r="F95" s="179"/>
      <c r="G95" s="175"/>
    </row>
    <row r="96" spans="1:7" s="176" customFormat="1" ht="15.6">
      <c r="A96" s="416" t="s">
        <v>1042</v>
      </c>
      <c r="B96" s="173" t="s">
        <v>504</v>
      </c>
      <c r="C96" s="173" t="s">
        <v>305</v>
      </c>
      <c r="D96" s="173">
        <v>4</v>
      </c>
      <c r="E96" s="173"/>
      <c r="F96" s="179"/>
      <c r="G96" s="175"/>
    </row>
    <row r="97" spans="1:7" s="176" customFormat="1" ht="15.6">
      <c r="A97" s="416" t="s">
        <v>1043</v>
      </c>
      <c r="B97" s="173" t="s">
        <v>505</v>
      </c>
      <c r="C97" s="173" t="s">
        <v>305</v>
      </c>
      <c r="D97" s="173">
        <f>D96</f>
        <v>4</v>
      </c>
      <c r="E97" s="173"/>
      <c r="F97" s="179"/>
      <c r="G97" s="175"/>
    </row>
    <row r="98" spans="1:7" s="176" customFormat="1" ht="31.2">
      <c r="A98" s="416" t="s">
        <v>1044</v>
      </c>
      <c r="B98" s="173" t="s">
        <v>506</v>
      </c>
      <c r="C98" s="173" t="s">
        <v>11</v>
      </c>
      <c r="D98" s="173" t="s">
        <v>11</v>
      </c>
      <c r="E98" s="173"/>
      <c r="F98" s="179"/>
      <c r="G98" s="175"/>
    </row>
    <row r="99" spans="1:7" s="176" customFormat="1" ht="15.6">
      <c r="A99" s="416" t="s">
        <v>1045</v>
      </c>
      <c r="B99" s="173" t="s">
        <v>613</v>
      </c>
      <c r="C99" s="173" t="s">
        <v>9</v>
      </c>
      <c r="D99" s="173">
        <f>D92</f>
        <v>41</v>
      </c>
      <c r="E99" s="173"/>
      <c r="F99" s="179"/>
      <c r="G99" s="175"/>
    </row>
    <row r="100" spans="1:7" s="176" customFormat="1" ht="15.6">
      <c r="A100" s="545"/>
      <c r="B100" s="546"/>
      <c r="C100" s="547"/>
      <c r="D100" s="547"/>
      <c r="E100" s="547"/>
      <c r="F100" s="576"/>
      <c r="G100" s="175"/>
    </row>
    <row r="101" spans="1:7" s="176" customFormat="1" ht="15.6">
      <c r="A101" s="542"/>
      <c r="B101" s="515" t="s">
        <v>1711</v>
      </c>
      <c r="C101" s="514"/>
      <c r="D101" s="514"/>
      <c r="E101" s="514"/>
      <c r="F101" s="577"/>
      <c r="G101" s="175"/>
    </row>
    <row r="102" spans="1:7" s="176" customFormat="1" ht="15.6">
      <c r="A102" s="845" t="s">
        <v>260</v>
      </c>
      <c r="B102" s="846" t="s">
        <v>13</v>
      </c>
      <c r="C102" s="847" t="s">
        <v>330</v>
      </c>
      <c r="D102" s="848" t="s">
        <v>331</v>
      </c>
      <c r="E102" s="849" t="s">
        <v>332</v>
      </c>
      <c r="F102" s="850"/>
      <c r="G102" s="175"/>
    </row>
    <row r="103" spans="1:7" s="176" customFormat="1" ht="15.6">
      <c r="A103" s="516"/>
      <c r="B103" s="517"/>
      <c r="C103" s="518"/>
      <c r="D103" s="519"/>
      <c r="E103" s="520"/>
      <c r="F103" s="577"/>
      <c r="G103" s="175"/>
    </row>
    <row r="104" spans="1:7" s="176" customFormat="1" ht="15.6">
      <c r="A104" s="546"/>
      <c r="B104" s="546" t="s">
        <v>1716</v>
      </c>
      <c r="C104" s="547"/>
      <c r="D104" s="547"/>
      <c r="E104" s="547"/>
      <c r="F104" s="576"/>
      <c r="G104" s="175"/>
    </row>
    <row r="105" spans="1:7" s="176" customFormat="1" ht="15.6">
      <c r="A105" s="548"/>
      <c r="B105" s="546" t="s">
        <v>902</v>
      </c>
      <c r="C105" s="547"/>
      <c r="D105" s="547"/>
      <c r="E105" s="547"/>
      <c r="F105" s="576"/>
      <c r="G105" s="175"/>
    </row>
    <row r="106" spans="1:7" s="176" customFormat="1" ht="15.6">
      <c r="A106" s="546">
        <v>3.18</v>
      </c>
      <c r="B106" s="546" t="s">
        <v>903</v>
      </c>
      <c r="C106" s="547"/>
      <c r="D106" s="547"/>
      <c r="E106" s="547"/>
      <c r="F106" s="576"/>
      <c r="G106" s="175"/>
    </row>
    <row r="107" spans="1:7" s="176" customFormat="1" ht="57.6">
      <c r="A107" s="548"/>
      <c r="B107" s="551" t="s">
        <v>904</v>
      </c>
      <c r="C107" s="547"/>
      <c r="D107" s="547"/>
      <c r="E107" s="547"/>
      <c r="F107" s="576"/>
      <c r="G107" s="175"/>
    </row>
    <row r="108" spans="1:7" s="176" customFormat="1" ht="15.6">
      <c r="A108" s="548" t="s">
        <v>1046</v>
      </c>
      <c r="B108" s="549" t="s">
        <v>905</v>
      </c>
      <c r="C108" s="547" t="s">
        <v>304</v>
      </c>
      <c r="D108" s="547">
        <v>2</v>
      </c>
      <c r="E108" s="547"/>
      <c r="F108" s="576"/>
      <c r="G108" s="175"/>
    </row>
    <row r="109" spans="1:7" s="176" customFormat="1" ht="31.2">
      <c r="A109" s="548" t="s">
        <v>1083</v>
      </c>
      <c r="B109" s="173" t="s">
        <v>614</v>
      </c>
      <c r="C109" s="547" t="s">
        <v>325</v>
      </c>
      <c r="D109" s="180">
        <f>CEILING(5.1*D108,1)</f>
        <v>11</v>
      </c>
      <c r="E109" s="180"/>
      <c r="F109" s="179"/>
      <c r="G109" s="175"/>
    </row>
    <row r="110" spans="1:7" s="176" customFormat="1" ht="15.6">
      <c r="A110" s="548" t="s">
        <v>1084</v>
      </c>
      <c r="B110" s="173" t="s">
        <v>615</v>
      </c>
      <c r="C110" s="547" t="s">
        <v>325</v>
      </c>
      <c r="D110" s="180">
        <f>D109*2</f>
        <v>22</v>
      </c>
      <c r="E110" s="180"/>
      <c r="F110" s="179"/>
      <c r="G110" s="175"/>
    </row>
    <row r="111" spans="1:7" s="176" customFormat="1" ht="15.6">
      <c r="A111" s="548" t="s">
        <v>1085</v>
      </c>
      <c r="B111" s="173" t="s">
        <v>616</v>
      </c>
      <c r="C111" s="547" t="s">
        <v>325</v>
      </c>
      <c r="D111" s="180">
        <f>D110</f>
        <v>22</v>
      </c>
      <c r="E111" s="180"/>
      <c r="F111" s="179"/>
      <c r="G111" s="175"/>
    </row>
    <row r="112" spans="1:7" s="176" customFormat="1" ht="31.2">
      <c r="A112" s="548" t="s">
        <v>1086</v>
      </c>
      <c r="B112" s="173" t="s">
        <v>618</v>
      </c>
      <c r="C112" s="547" t="s">
        <v>11</v>
      </c>
      <c r="D112" s="180" t="s">
        <v>11</v>
      </c>
      <c r="E112" s="180"/>
      <c r="F112" s="179"/>
      <c r="G112" s="175"/>
    </row>
    <row r="113" spans="1:198" s="176" customFormat="1" ht="15.6">
      <c r="A113" s="548" t="s">
        <v>1087</v>
      </c>
      <c r="B113" s="173" t="s">
        <v>619</v>
      </c>
      <c r="C113" s="547" t="s">
        <v>305</v>
      </c>
      <c r="D113" s="180">
        <f>SUM(D108)</f>
        <v>2</v>
      </c>
      <c r="E113" s="180"/>
      <c r="F113" s="179"/>
      <c r="G113" s="175"/>
    </row>
    <row r="114" spans="1:198" s="176" customFormat="1" ht="15.6">
      <c r="A114" s="548" t="s">
        <v>1088</v>
      </c>
      <c r="B114" s="435" t="s">
        <v>620</v>
      </c>
      <c r="C114" s="547" t="s">
        <v>621</v>
      </c>
      <c r="D114" s="436">
        <f>D108*3/2</f>
        <v>3</v>
      </c>
      <c r="E114" s="436"/>
      <c r="F114" s="437"/>
      <c r="G114" s="175"/>
    </row>
    <row r="115" spans="1:198" s="176" customFormat="1" ht="15.6">
      <c r="A115" s="548" t="s">
        <v>1089</v>
      </c>
      <c r="B115" s="173" t="s">
        <v>622</v>
      </c>
      <c r="C115" s="547" t="s">
        <v>305</v>
      </c>
      <c r="D115" s="180">
        <f>D113</f>
        <v>2</v>
      </c>
      <c r="E115" s="180"/>
      <c r="F115" s="179"/>
      <c r="G115" s="175"/>
    </row>
    <row r="116" spans="1:198" s="176" customFormat="1" ht="15.6">
      <c r="A116" s="548"/>
      <c r="B116" s="549"/>
      <c r="C116" s="547"/>
      <c r="D116" s="547"/>
      <c r="E116" s="547"/>
      <c r="F116" s="576"/>
      <c r="G116" s="175"/>
    </row>
    <row r="117" spans="1:198" s="176" customFormat="1" ht="15.6">
      <c r="A117" s="545">
        <v>3.19</v>
      </c>
      <c r="B117" s="546" t="s">
        <v>670</v>
      </c>
      <c r="C117" s="547"/>
      <c r="D117" s="547"/>
      <c r="E117" s="547"/>
      <c r="F117" s="576"/>
      <c r="G117" s="175"/>
    </row>
    <row r="118" spans="1:198" s="161" customFormat="1" ht="66.599999999999994">
      <c r="A118" s="548" t="s">
        <v>1047</v>
      </c>
      <c r="B118" s="549" t="s">
        <v>906</v>
      </c>
      <c r="C118" s="547" t="s">
        <v>10</v>
      </c>
      <c r="D118" s="547">
        <v>8</v>
      </c>
      <c r="E118" s="547"/>
      <c r="F118" s="576"/>
      <c r="G118" s="159"/>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0"/>
      <c r="AJ118" s="160"/>
      <c r="AK118" s="160"/>
      <c r="AL118" s="160"/>
      <c r="AM118" s="160"/>
      <c r="AN118" s="160"/>
      <c r="AO118" s="160"/>
      <c r="AP118" s="160"/>
      <c r="AQ118" s="160"/>
      <c r="AR118" s="160"/>
      <c r="AS118" s="160"/>
      <c r="AT118" s="160"/>
      <c r="AU118" s="160"/>
      <c r="AV118" s="160"/>
      <c r="AW118" s="160"/>
      <c r="AX118" s="160"/>
      <c r="AY118" s="160"/>
      <c r="AZ118" s="160"/>
      <c r="BA118" s="160"/>
      <c r="BB118" s="160"/>
      <c r="BC118" s="160"/>
      <c r="BD118" s="160"/>
      <c r="BE118" s="160"/>
      <c r="BF118" s="160"/>
      <c r="BG118" s="160"/>
      <c r="BH118" s="160"/>
      <c r="BI118" s="160"/>
      <c r="BJ118" s="160"/>
      <c r="BK118" s="160"/>
      <c r="BL118" s="160"/>
      <c r="BM118" s="160"/>
      <c r="BN118" s="160"/>
      <c r="BO118" s="160"/>
      <c r="BP118" s="160"/>
      <c r="BQ118" s="160"/>
      <c r="BR118" s="160"/>
      <c r="BS118" s="160"/>
      <c r="BT118" s="160"/>
      <c r="BU118" s="160"/>
      <c r="BV118" s="160"/>
      <c r="BW118" s="160"/>
      <c r="BX118" s="160"/>
      <c r="BY118" s="160"/>
      <c r="BZ118" s="160"/>
      <c r="CA118" s="160"/>
      <c r="CB118" s="160"/>
      <c r="CC118" s="160"/>
      <c r="CD118" s="160"/>
      <c r="CE118" s="160"/>
      <c r="CF118" s="160"/>
      <c r="CG118" s="160"/>
      <c r="CH118" s="160"/>
      <c r="CI118" s="160"/>
      <c r="CJ118" s="160"/>
      <c r="CK118" s="160"/>
      <c r="CL118" s="160"/>
      <c r="CM118" s="160"/>
      <c r="CN118" s="160"/>
      <c r="CO118" s="160"/>
      <c r="CP118" s="160"/>
      <c r="CQ118" s="160"/>
      <c r="CR118" s="160"/>
      <c r="CS118" s="160"/>
      <c r="CT118" s="160"/>
      <c r="CU118" s="160"/>
      <c r="CV118" s="160"/>
      <c r="CW118" s="160"/>
      <c r="CX118" s="160"/>
      <c r="CY118" s="160"/>
      <c r="CZ118" s="160"/>
      <c r="DA118" s="160"/>
      <c r="DB118" s="160"/>
      <c r="DC118" s="160"/>
      <c r="DD118" s="160"/>
      <c r="DE118" s="160"/>
      <c r="DF118" s="160"/>
      <c r="DG118" s="160"/>
      <c r="DH118" s="160"/>
      <c r="DI118" s="160"/>
      <c r="DJ118" s="160"/>
      <c r="DK118" s="160"/>
      <c r="DL118" s="160"/>
      <c r="DM118" s="160"/>
      <c r="DN118" s="160"/>
      <c r="DO118" s="160"/>
      <c r="DP118" s="160"/>
      <c r="DQ118" s="160"/>
      <c r="DR118" s="160"/>
      <c r="DS118" s="160"/>
      <c r="DT118" s="160"/>
      <c r="DU118" s="160"/>
      <c r="DV118" s="160"/>
      <c r="DW118" s="160"/>
      <c r="DX118" s="160"/>
      <c r="DY118" s="160"/>
      <c r="DZ118" s="160"/>
      <c r="EA118" s="160"/>
      <c r="EB118" s="160"/>
      <c r="EC118" s="160"/>
      <c r="ED118" s="160"/>
      <c r="EE118" s="160"/>
      <c r="EF118" s="160"/>
      <c r="EG118" s="160"/>
      <c r="EH118" s="160"/>
      <c r="EI118" s="160"/>
      <c r="EJ118" s="160"/>
      <c r="EK118" s="160"/>
      <c r="EL118" s="160"/>
      <c r="EM118" s="160"/>
      <c r="EN118" s="160"/>
      <c r="EO118" s="160"/>
      <c r="EP118" s="160"/>
      <c r="EQ118" s="160"/>
      <c r="ER118" s="160"/>
      <c r="ES118" s="160"/>
      <c r="ET118" s="160"/>
      <c r="EU118" s="160"/>
      <c r="EV118" s="160"/>
      <c r="EW118" s="160"/>
      <c r="EX118" s="160"/>
      <c r="EY118" s="160"/>
      <c r="EZ118" s="160"/>
      <c r="FA118" s="160"/>
      <c r="FB118" s="160"/>
      <c r="FC118" s="160"/>
      <c r="FD118" s="160"/>
      <c r="FE118" s="160"/>
      <c r="FF118" s="160"/>
      <c r="FG118" s="160"/>
      <c r="FH118" s="160"/>
      <c r="FI118" s="160"/>
      <c r="FJ118" s="160"/>
      <c r="FK118" s="160"/>
      <c r="FL118" s="160"/>
      <c r="FM118" s="160"/>
      <c r="FN118" s="160"/>
      <c r="FO118" s="160"/>
      <c r="FP118" s="160"/>
      <c r="FQ118" s="160"/>
      <c r="FR118" s="160"/>
      <c r="FS118" s="160"/>
      <c r="FT118" s="160"/>
      <c r="FU118" s="160"/>
      <c r="FV118" s="160"/>
      <c r="FW118" s="160"/>
      <c r="FX118" s="160"/>
      <c r="FY118" s="160"/>
      <c r="FZ118" s="160"/>
      <c r="GA118" s="160"/>
      <c r="GB118" s="160"/>
      <c r="GC118" s="160"/>
      <c r="GD118" s="160"/>
      <c r="GE118" s="160"/>
      <c r="GF118" s="160"/>
      <c r="GG118" s="160"/>
      <c r="GH118" s="160"/>
      <c r="GI118" s="160"/>
      <c r="GJ118" s="160"/>
      <c r="GK118" s="160"/>
      <c r="GL118" s="160"/>
      <c r="GM118" s="160"/>
      <c r="GN118" s="160"/>
      <c r="GO118" s="160"/>
      <c r="GP118" s="160"/>
    </row>
    <row r="119" spans="1:198" s="171" customFormat="1" ht="15.6">
      <c r="A119" s="1225"/>
      <c r="B119" s="1226" t="s">
        <v>1712</v>
      </c>
      <c r="C119" s="1227"/>
      <c r="D119" s="1227"/>
      <c r="E119" s="1227"/>
      <c r="F119" s="577"/>
      <c r="G119" s="169"/>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0"/>
      <c r="BR119" s="170"/>
      <c r="BS119" s="170"/>
      <c r="BT119" s="170"/>
      <c r="BU119" s="170"/>
      <c r="BV119" s="170"/>
      <c r="BW119" s="170"/>
      <c r="BX119" s="170"/>
      <c r="BY119" s="170"/>
      <c r="BZ119" s="170"/>
      <c r="CA119" s="170"/>
      <c r="CB119" s="170"/>
      <c r="CC119" s="170"/>
      <c r="CD119" s="170"/>
      <c r="CE119" s="170"/>
      <c r="CF119" s="170"/>
      <c r="CG119" s="170"/>
      <c r="CH119" s="170"/>
      <c r="CI119" s="170"/>
      <c r="CJ119" s="170"/>
      <c r="CK119" s="170"/>
      <c r="CL119" s="170"/>
      <c r="CM119" s="170"/>
      <c r="CN119" s="170"/>
      <c r="CO119" s="170"/>
      <c r="CP119" s="170"/>
      <c r="CQ119" s="170"/>
      <c r="CR119" s="170"/>
      <c r="CS119" s="170"/>
      <c r="CT119" s="170"/>
      <c r="CU119" s="170"/>
      <c r="CV119" s="170"/>
      <c r="CW119" s="170"/>
      <c r="CX119" s="170"/>
      <c r="CY119" s="170"/>
      <c r="CZ119" s="170"/>
      <c r="DA119" s="170"/>
      <c r="DB119" s="170"/>
      <c r="DC119" s="170"/>
      <c r="DD119" s="170"/>
      <c r="DE119" s="170"/>
      <c r="DF119" s="170"/>
      <c r="DG119" s="170"/>
      <c r="DH119" s="170"/>
      <c r="DI119" s="170"/>
      <c r="DJ119" s="170"/>
      <c r="DK119" s="170"/>
      <c r="DL119" s="170"/>
      <c r="DM119" s="170"/>
      <c r="DN119" s="170"/>
      <c r="DO119" s="170"/>
      <c r="DP119" s="170"/>
      <c r="DQ119" s="170"/>
      <c r="DR119" s="170"/>
      <c r="DS119" s="170"/>
      <c r="DT119" s="170"/>
      <c r="DU119" s="170"/>
      <c r="DV119" s="170"/>
      <c r="DW119" s="170"/>
      <c r="DX119" s="170"/>
      <c r="DY119" s="170"/>
      <c r="DZ119" s="170"/>
      <c r="EA119" s="170"/>
      <c r="EB119" s="170"/>
      <c r="EC119" s="170"/>
      <c r="ED119" s="170"/>
      <c r="EE119" s="170"/>
      <c r="EF119" s="170"/>
      <c r="EG119" s="170"/>
      <c r="EH119" s="170"/>
      <c r="EI119" s="170"/>
      <c r="EJ119" s="170"/>
      <c r="EK119" s="170"/>
      <c r="EL119" s="170"/>
      <c r="EM119" s="170"/>
      <c r="EN119" s="170"/>
      <c r="EO119" s="170"/>
      <c r="EP119" s="170"/>
      <c r="EQ119" s="170"/>
      <c r="ER119" s="170"/>
      <c r="ES119" s="170"/>
      <c r="ET119" s="170"/>
      <c r="EU119" s="170"/>
      <c r="EV119" s="170"/>
      <c r="EW119" s="170"/>
      <c r="EX119" s="170"/>
      <c r="EY119" s="170"/>
      <c r="EZ119" s="170"/>
      <c r="FA119" s="170"/>
      <c r="FB119" s="170"/>
      <c r="FC119" s="170"/>
      <c r="FD119" s="170"/>
      <c r="FE119" s="170"/>
      <c r="FF119" s="170"/>
      <c r="FG119" s="170"/>
      <c r="FH119" s="170"/>
      <c r="FI119" s="170"/>
      <c r="FJ119" s="170"/>
      <c r="FK119" s="170"/>
      <c r="FL119" s="170"/>
      <c r="FM119" s="170"/>
      <c r="FN119" s="170"/>
      <c r="FO119" s="170"/>
      <c r="FP119" s="170"/>
      <c r="FQ119" s="170"/>
      <c r="FR119" s="170"/>
      <c r="FS119" s="170"/>
      <c r="FT119" s="170"/>
      <c r="FU119" s="170"/>
      <c r="FV119" s="170"/>
      <c r="FW119" s="170"/>
      <c r="FX119" s="170"/>
      <c r="FY119" s="170"/>
      <c r="FZ119" s="170"/>
      <c r="GA119" s="170"/>
      <c r="GB119" s="170"/>
      <c r="GC119" s="170"/>
      <c r="GD119" s="170"/>
      <c r="GE119" s="170"/>
      <c r="GF119" s="170"/>
      <c r="GG119" s="170"/>
      <c r="GH119" s="170"/>
      <c r="GI119" s="170"/>
      <c r="GJ119" s="170"/>
      <c r="GK119" s="170"/>
      <c r="GL119" s="170"/>
      <c r="GM119" s="170"/>
      <c r="GN119" s="170"/>
      <c r="GO119" s="170"/>
      <c r="GP119" s="170"/>
    </row>
    <row r="120" spans="1:198" s="161" customFormat="1" ht="15.6">
      <c r="A120" s="548"/>
      <c r="B120" s="549"/>
      <c r="C120" s="547"/>
      <c r="D120" s="547"/>
      <c r="E120" s="547"/>
      <c r="F120" s="576"/>
      <c r="G120" s="159"/>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c r="BO120" s="160"/>
      <c r="BP120" s="160"/>
      <c r="BQ120" s="160"/>
      <c r="BR120" s="160"/>
      <c r="BS120" s="160"/>
      <c r="BT120" s="160"/>
      <c r="BU120" s="160"/>
      <c r="BV120" s="160"/>
      <c r="BW120" s="160"/>
      <c r="BX120" s="160"/>
      <c r="BY120" s="160"/>
      <c r="BZ120" s="160"/>
      <c r="CA120" s="160"/>
      <c r="CB120" s="160"/>
      <c r="CC120" s="160"/>
      <c r="CD120" s="160"/>
      <c r="CE120" s="160"/>
      <c r="CF120" s="160"/>
      <c r="CG120" s="160"/>
      <c r="CH120" s="160"/>
      <c r="CI120" s="160"/>
      <c r="CJ120" s="160"/>
      <c r="CK120" s="160"/>
      <c r="CL120" s="160"/>
      <c r="CM120" s="160"/>
      <c r="CN120" s="160"/>
      <c r="CO120" s="160"/>
      <c r="CP120" s="160"/>
      <c r="CQ120" s="160"/>
      <c r="CR120" s="160"/>
      <c r="CS120" s="160"/>
      <c r="CT120" s="160"/>
      <c r="CU120" s="160"/>
      <c r="CV120" s="160"/>
      <c r="CW120" s="160"/>
      <c r="CX120" s="160"/>
      <c r="CY120" s="160"/>
      <c r="CZ120" s="160"/>
      <c r="DA120" s="160"/>
      <c r="DB120" s="160"/>
      <c r="DC120" s="160"/>
      <c r="DD120" s="160"/>
      <c r="DE120" s="160"/>
      <c r="DF120" s="160"/>
      <c r="DG120" s="160"/>
      <c r="DH120" s="160"/>
      <c r="DI120" s="160"/>
      <c r="DJ120" s="160"/>
      <c r="DK120" s="160"/>
      <c r="DL120" s="160"/>
      <c r="DM120" s="160"/>
      <c r="DN120" s="160"/>
      <c r="DO120" s="160"/>
      <c r="DP120" s="160"/>
      <c r="DQ120" s="160"/>
      <c r="DR120" s="160"/>
      <c r="DS120" s="160"/>
      <c r="DT120" s="160"/>
      <c r="DU120" s="160"/>
      <c r="DV120" s="160"/>
      <c r="DW120" s="160"/>
      <c r="DX120" s="160"/>
      <c r="DY120" s="160"/>
      <c r="DZ120" s="160"/>
      <c r="EA120" s="160"/>
      <c r="EB120" s="160"/>
      <c r="EC120" s="160"/>
      <c r="ED120" s="160"/>
      <c r="EE120" s="160"/>
      <c r="EF120" s="160"/>
      <c r="EG120" s="160"/>
      <c r="EH120" s="160"/>
      <c r="EI120" s="160"/>
      <c r="EJ120" s="160"/>
      <c r="EK120" s="160"/>
      <c r="EL120" s="160"/>
      <c r="EM120" s="160"/>
      <c r="EN120" s="160"/>
      <c r="EO120" s="160"/>
      <c r="EP120" s="160"/>
      <c r="EQ120" s="160"/>
      <c r="ER120" s="160"/>
      <c r="ES120" s="160"/>
      <c r="ET120" s="160"/>
      <c r="EU120" s="160"/>
      <c r="EV120" s="160"/>
      <c r="EW120" s="160"/>
      <c r="EX120" s="160"/>
      <c r="EY120" s="160"/>
      <c r="EZ120" s="160"/>
      <c r="FA120" s="160"/>
      <c r="FB120" s="160"/>
      <c r="FC120" s="160"/>
      <c r="FD120" s="160"/>
      <c r="FE120" s="160"/>
      <c r="FF120" s="160"/>
      <c r="FG120" s="160"/>
      <c r="FH120" s="160"/>
      <c r="FI120" s="160"/>
      <c r="FJ120" s="160"/>
      <c r="FK120" s="160"/>
      <c r="FL120" s="160"/>
      <c r="FM120" s="160"/>
      <c r="FN120" s="160"/>
      <c r="FO120" s="160"/>
      <c r="FP120" s="160"/>
      <c r="FQ120" s="160"/>
      <c r="FR120" s="160"/>
      <c r="FS120" s="160"/>
      <c r="FT120" s="160"/>
      <c r="FU120" s="160"/>
      <c r="FV120" s="160"/>
      <c r="FW120" s="160"/>
      <c r="FX120" s="160"/>
      <c r="FY120" s="160"/>
      <c r="FZ120" s="160"/>
      <c r="GA120" s="160"/>
      <c r="GB120" s="160"/>
      <c r="GC120" s="160"/>
      <c r="GD120" s="160"/>
      <c r="GE120" s="160"/>
      <c r="GF120" s="160"/>
      <c r="GG120" s="160"/>
      <c r="GH120" s="160"/>
      <c r="GI120" s="160"/>
      <c r="GJ120" s="160"/>
      <c r="GK120" s="160"/>
      <c r="GL120" s="160"/>
      <c r="GM120" s="160"/>
      <c r="GN120" s="160"/>
      <c r="GO120" s="160"/>
      <c r="GP120" s="160"/>
    </row>
    <row r="121" spans="1:198" s="176" customFormat="1" ht="15.6">
      <c r="A121" s="545"/>
      <c r="B121" s="546" t="s">
        <v>1710</v>
      </c>
      <c r="C121" s="547"/>
      <c r="D121" s="547"/>
      <c r="E121" s="547"/>
      <c r="F121" s="576"/>
      <c r="G121" s="175"/>
    </row>
    <row r="122" spans="1:198" s="176" customFormat="1" ht="15.6">
      <c r="A122" s="550" t="s">
        <v>1048</v>
      </c>
      <c r="B122" s="546" t="s">
        <v>908</v>
      </c>
      <c r="C122" s="547"/>
      <c r="D122" s="547"/>
      <c r="E122" s="547"/>
      <c r="F122" s="576"/>
      <c r="G122" s="175"/>
    </row>
    <row r="123" spans="1:198" s="176" customFormat="1" ht="15.6">
      <c r="A123" s="548"/>
      <c r="B123" s="551" t="s">
        <v>909</v>
      </c>
      <c r="C123" s="547"/>
      <c r="D123" s="547"/>
      <c r="E123" s="547"/>
      <c r="F123" s="576"/>
      <c r="G123" s="175"/>
    </row>
    <row r="124" spans="1:198" s="176" customFormat="1" ht="15.6">
      <c r="A124" s="548"/>
      <c r="B124" s="551" t="s">
        <v>910</v>
      </c>
      <c r="C124" s="547"/>
      <c r="D124" s="547"/>
      <c r="E124" s="547"/>
      <c r="F124" s="576"/>
      <c r="G124" s="175"/>
    </row>
    <row r="125" spans="1:198" s="176" customFormat="1" ht="16.2">
      <c r="A125" s="548" t="s">
        <v>1049</v>
      </c>
      <c r="B125" s="549" t="s">
        <v>912</v>
      </c>
      <c r="C125" s="547" t="s">
        <v>500</v>
      </c>
      <c r="D125" s="547">
        <f>D8</f>
        <v>72</v>
      </c>
      <c r="E125" s="547"/>
      <c r="F125" s="576"/>
      <c r="G125" s="175"/>
    </row>
    <row r="126" spans="1:198" s="176" customFormat="1" ht="15.6">
      <c r="A126" s="548"/>
      <c r="B126" s="549"/>
      <c r="C126" s="547"/>
      <c r="D126" s="547"/>
      <c r="E126" s="547"/>
      <c r="F126" s="576"/>
      <c r="G126" s="175"/>
    </row>
    <row r="127" spans="1:198" s="176" customFormat="1" ht="15.6">
      <c r="A127" s="545">
        <v>3.21</v>
      </c>
      <c r="B127" s="546" t="s">
        <v>913</v>
      </c>
      <c r="C127" s="547"/>
      <c r="D127" s="547"/>
      <c r="E127" s="547"/>
      <c r="F127" s="576"/>
      <c r="G127" s="175"/>
    </row>
    <row r="128" spans="1:198" s="176" customFormat="1" ht="57.6">
      <c r="A128" s="548"/>
      <c r="B128" s="551" t="s">
        <v>914</v>
      </c>
      <c r="C128" s="547"/>
      <c r="D128" s="547"/>
      <c r="E128" s="547"/>
      <c r="F128" s="576"/>
      <c r="G128" s="175"/>
    </row>
    <row r="129" spans="1:198" s="176" customFormat="1" ht="16.2">
      <c r="A129" s="548" t="s">
        <v>1050</v>
      </c>
      <c r="B129" s="549" t="s">
        <v>915</v>
      </c>
      <c r="C129" s="547" t="s">
        <v>500</v>
      </c>
      <c r="D129" s="547">
        <f>D8</f>
        <v>72</v>
      </c>
      <c r="E129" s="547"/>
      <c r="F129" s="576"/>
      <c r="G129" s="175"/>
    </row>
    <row r="130" spans="1:198" s="176" customFormat="1" ht="15.6">
      <c r="A130" s="548" t="s">
        <v>1051</v>
      </c>
      <c r="B130" s="549" t="s">
        <v>916</v>
      </c>
      <c r="C130" s="547" t="s">
        <v>325</v>
      </c>
      <c r="D130" s="547">
        <v>18</v>
      </c>
      <c r="E130" s="547"/>
      <c r="F130" s="576"/>
      <c r="G130" s="175"/>
    </row>
    <row r="131" spans="1:198" s="171" customFormat="1" ht="15.6">
      <c r="A131" s="548"/>
      <c r="B131" s="549"/>
      <c r="C131" s="547"/>
      <c r="D131" s="547"/>
      <c r="E131" s="547"/>
      <c r="F131" s="576"/>
      <c r="G131" s="169"/>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c r="AY131" s="170"/>
      <c r="AZ131" s="170"/>
      <c r="BA131" s="170"/>
      <c r="BB131" s="170"/>
      <c r="BC131" s="170"/>
      <c r="BD131" s="170"/>
      <c r="BE131" s="170"/>
      <c r="BF131" s="170"/>
      <c r="BG131" s="170"/>
      <c r="BH131" s="170"/>
      <c r="BI131" s="170"/>
      <c r="BJ131" s="170"/>
      <c r="BK131" s="170"/>
      <c r="BL131" s="170"/>
      <c r="BM131" s="170"/>
      <c r="BN131" s="170"/>
      <c r="BO131" s="170"/>
      <c r="BP131" s="170"/>
      <c r="BQ131" s="170"/>
      <c r="BR131" s="170"/>
      <c r="BS131" s="170"/>
      <c r="BT131" s="170"/>
      <c r="BU131" s="170"/>
      <c r="BV131" s="170"/>
      <c r="BW131" s="170"/>
      <c r="BX131" s="170"/>
      <c r="BY131" s="170"/>
      <c r="BZ131" s="170"/>
      <c r="CA131" s="170"/>
      <c r="CB131" s="170"/>
      <c r="CC131" s="170"/>
      <c r="CD131" s="170"/>
      <c r="CE131" s="170"/>
      <c r="CF131" s="170"/>
      <c r="CG131" s="170"/>
      <c r="CH131" s="170"/>
      <c r="CI131" s="170"/>
      <c r="CJ131" s="170"/>
      <c r="CK131" s="170"/>
      <c r="CL131" s="170"/>
      <c r="CM131" s="170"/>
      <c r="CN131" s="170"/>
      <c r="CO131" s="170"/>
      <c r="CP131" s="170"/>
      <c r="CQ131" s="170"/>
      <c r="CR131" s="170"/>
      <c r="CS131" s="170"/>
      <c r="CT131" s="170"/>
      <c r="CU131" s="170"/>
      <c r="CV131" s="170"/>
      <c r="CW131" s="170"/>
      <c r="CX131" s="170"/>
      <c r="CY131" s="170"/>
      <c r="CZ131" s="170"/>
      <c r="DA131" s="170"/>
      <c r="DB131" s="170"/>
      <c r="DC131" s="170"/>
      <c r="DD131" s="170"/>
      <c r="DE131" s="170"/>
      <c r="DF131" s="170"/>
      <c r="DG131" s="170"/>
      <c r="DH131" s="170"/>
      <c r="DI131" s="170"/>
      <c r="DJ131" s="170"/>
      <c r="DK131" s="170"/>
      <c r="DL131" s="170"/>
      <c r="DM131" s="170"/>
      <c r="DN131" s="170"/>
      <c r="DO131" s="170"/>
      <c r="DP131" s="170"/>
      <c r="DQ131" s="170"/>
      <c r="DR131" s="170"/>
      <c r="DS131" s="170"/>
      <c r="DT131" s="170"/>
      <c r="DU131" s="170"/>
      <c r="DV131" s="170"/>
      <c r="DW131" s="170"/>
      <c r="DX131" s="170"/>
      <c r="DY131" s="170"/>
      <c r="DZ131" s="170"/>
      <c r="EA131" s="170"/>
      <c r="EB131" s="170"/>
      <c r="EC131" s="170"/>
      <c r="ED131" s="170"/>
      <c r="EE131" s="170"/>
      <c r="EF131" s="170"/>
      <c r="EG131" s="170"/>
      <c r="EH131" s="170"/>
      <c r="EI131" s="170"/>
      <c r="EJ131" s="170"/>
      <c r="EK131" s="170"/>
      <c r="EL131" s="170"/>
      <c r="EM131" s="170"/>
      <c r="EN131" s="170"/>
      <c r="EO131" s="170"/>
      <c r="EP131" s="170"/>
      <c r="EQ131" s="170"/>
      <c r="ER131" s="170"/>
      <c r="ES131" s="170"/>
      <c r="ET131" s="170"/>
      <c r="EU131" s="170"/>
      <c r="EV131" s="170"/>
      <c r="EW131" s="170"/>
      <c r="EX131" s="170"/>
      <c r="EY131" s="170"/>
      <c r="EZ131" s="170"/>
      <c r="FA131" s="170"/>
      <c r="FB131" s="170"/>
      <c r="FC131" s="170"/>
      <c r="FD131" s="170"/>
      <c r="FE131" s="170"/>
      <c r="FF131" s="170"/>
      <c r="FG131" s="170"/>
      <c r="FH131" s="170"/>
      <c r="FI131" s="170"/>
      <c r="FJ131" s="170"/>
      <c r="FK131" s="170"/>
      <c r="FL131" s="170"/>
      <c r="FM131" s="170"/>
      <c r="FN131" s="170"/>
      <c r="FO131" s="170"/>
      <c r="FP131" s="170"/>
      <c r="FQ131" s="170"/>
      <c r="FR131" s="170"/>
      <c r="FS131" s="170"/>
      <c r="FT131" s="170"/>
      <c r="FU131" s="170"/>
      <c r="FV131" s="170"/>
      <c r="FW131" s="170"/>
      <c r="FX131" s="170"/>
      <c r="FY131" s="170"/>
      <c r="FZ131" s="170"/>
      <c r="GA131" s="170"/>
      <c r="GB131" s="170"/>
      <c r="GC131" s="170"/>
      <c r="GD131" s="170"/>
      <c r="GE131" s="170"/>
      <c r="GF131" s="170"/>
      <c r="GG131" s="170"/>
      <c r="GH131" s="170"/>
      <c r="GI131" s="170"/>
      <c r="GJ131" s="170"/>
      <c r="GK131" s="170"/>
      <c r="GL131" s="170"/>
      <c r="GM131" s="170"/>
      <c r="GN131" s="170"/>
      <c r="GO131" s="170"/>
      <c r="GP131" s="170"/>
    </row>
    <row r="132" spans="1:198" s="161" customFormat="1" ht="15.6">
      <c r="A132" s="545">
        <v>3.22</v>
      </c>
      <c r="B132" s="546" t="s">
        <v>917</v>
      </c>
      <c r="C132" s="547"/>
      <c r="D132" s="547"/>
      <c r="E132" s="547"/>
      <c r="F132" s="576"/>
      <c r="G132" s="159"/>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c r="AX132" s="160"/>
      <c r="AY132" s="160"/>
      <c r="AZ132" s="160"/>
      <c r="BA132" s="160"/>
      <c r="BB132" s="160"/>
      <c r="BC132" s="160"/>
      <c r="BD132" s="160"/>
      <c r="BE132" s="160"/>
      <c r="BF132" s="160"/>
      <c r="BG132" s="160"/>
      <c r="BH132" s="160"/>
      <c r="BI132" s="160"/>
      <c r="BJ132" s="160"/>
      <c r="BK132" s="160"/>
      <c r="BL132" s="160"/>
      <c r="BM132" s="160"/>
      <c r="BN132" s="160"/>
      <c r="BO132" s="160"/>
      <c r="BP132" s="160"/>
      <c r="BQ132" s="160"/>
      <c r="BR132" s="160"/>
      <c r="BS132" s="160"/>
      <c r="BT132" s="160"/>
      <c r="BU132" s="160"/>
      <c r="BV132" s="160"/>
      <c r="BW132" s="160"/>
      <c r="BX132" s="160"/>
      <c r="BY132" s="160"/>
      <c r="BZ132" s="160"/>
      <c r="CA132" s="160"/>
      <c r="CB132" s="160"/>
      <c r="CC132" s="160"/>
      <c r="CD132" s="160"/>
      <c r="CE132" s="160"/>
      <c r="CF132" s="160"/>
      <c r="CG132" s="160"/>
      <c r="CH132" s="160"/>
      <c r="CI132" s="160"/>
      <c r="CJ132" s="160"/>
      <c r="CK132" s="160"/>
      <c r="CL132" s="160"/>
      <c r="CM132" s="160"/>
      <c r="CN132" s="160"/>
      <c r="CO132" s="160"/>
      <c r="CP132" s="160"/>
      <c r="CQ132" s="160"/>
      <c r="CR132" s="160"/>
      <c r="CS132" s="160"/>
      <c r="CT132" s="160"/>
      <c r="CU132" s="160"/>
      <c r="CV132" s="160"/>
      <c r="CW132" s="160"/>
      <c r="CX132" s="160"/>
      <c r="CY132" s="160"/>
      <c r="CZ132" s="160"/>
      <c r="DA132" s="160"/>
      <c r="DB132" s="160"/>
      <c r="DC132" s="160"/>
      <c r="DD132" s="160"/>
      <c r="DE132" s="160"/>
      <c r="DF132" s="160"/>
      <c r="DG132" s="160"/>
      <c r="DH132" s="160"/>
      <c r="DI132" s="160"/>
      <c r="DJ132" s="160"/>
      <c r="DK132" s="160"/>
      <c r="DL132" s="160"/>
      <c r="DM132" s="160"/>
      <c r="DN132" s="160"/>
      <c r="DO132" s="160"/>
      <c r="DP132" s="160"/>
      <c r="DQ132" s="160"/>
      <c r="DR132" s="160"/>
      <c r="DS132" s="160"/>
      <c r="DT132" s="160"/>
      <c r="DU132" s="160"/>
      <c r="DV132" s="160"/>
      <c r="DW132" s="160"/>
      <c r="DX132" s="160"/>
      <c r="DY132" s="160"/>
      <c r="DZ132" s="160"/>
      <c r="EA132" s="160"/>
      <c r="EB132" s="160"/>
      <c r="EC132" s="160"/>
      <c r="ED132" s="160"/>
      <c r="EE132" s="160"/>
      <c r="EF132" s="160"/>
      <c r="EG132" s="160"/>
      <c r="EH132" s="160"/>
      <c r="EI132" s="160"/>
      <c r="EJ132" s="160"/>
      <c r="EK132" s="160"/>
      <c r="EL132" s="160"/>
      <c r="EM132" s="160"/>
      <c r="EN132" s="160"/>
      <c r="EO132" s="160"/>
      <c r="EP132" s="160"/>
      <c r="EQ132" s="160"/>
      <c r="ER132" s="160"/>
      <c r="ES132" s="160"/>
      <c r="ET132" s="160"/>
      <c r="EU132" s="160"/>
      <c r="EV132" s="160"/>
      <c r="EW132" s="160"/>
      <c r="EX132" s="160"/>
      <c r="EY132" s="160"/>
      <c r="EZ132" s="160"/>
      <c r="FA132" s="160"/>
      <c r="FB132" s="160"/>
      <c r="FC132" s="160"/>
      <c r="FD132" s="160"/>
      <c r="FE132" s="160"/>
      <c r="FF132" s="160"/>
      <c r="FG132" s="160"/>
      <c r="FH132" s="160"/>
      <c r="FI132" s="160"/>
      <c r="FJ132" s="160"/>
      <c r="FK132" s="160"/>
      <c r="FL132" s="160"/>
      <c r="FM132" s="160"/>
      <c r="FN132" s="160"/>
      <c r="FO132" s="160"/>
      <c r="FP132" s="160"/>
      <c r="FQ132" s="160"/>
      <c r="FR132" s="160"/>
      <c r="FS132" s="160"/>
      <c r="FT132" s="160"/>
      <c r="FU132" s="160"/>
      <c r="FV132" s="160"/>
      <c r="FW132" s="160"/>
      <c r="FX132" s="160"/>
      <c r="FY132" s="160"/>
      <c r="FZ132" s="160"/>
      <c r="GA132" s="160"/>
      <c r="GB132" s="160"/>
      <c r="GC132" s="160"/>
      <c r="GD132" s="160"/>
      <c r="GE132" s="160"/>
      <c r="GF132" s="160"/>
      <c r="GG132" s="160"/>
      <c r="GH132" s="160"/>
      <c r="GI132" s="160"/>
      <c r="GJ132" s="160"/>
      <c r="GK132" s="160"/>
      <c r="GL132" s="160"/>
      <c r="GM132" s="160"/>
      <c r="GN132" s="160"/>
      <c r="GO132" s="160"/>
      <c r="GP132" s="160"/>
    </row>
    <row r="133" spans="1:198" s="171" customFormat="1" ht="22.2" customHeight="1">
      <c r="A133" s="552"/>
      <c r="B133" s="551" t="s">
        <v>918</v>
      </c>
      <c r="C133" s="547"/>
      <c r="D133" s="547"/>
      <c r="E133" s="547"/>
      <c r="F133" s="576"/>
      <c r="G133" s="169"/>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c r="AY133" s="170"/>
      <c r="AZ133" s="170"/>
      <c r="BA133" s="170"/>
      <c r="BB133" s="170"/>
      <c r="BC133" s="170"/>
      <c r="BD133" s="170"/>
      <c r="BE133" s="170"/>
      <c r="BF133" s="170"/>
      <c r="BG133" s="170"/>
      <c r="BH133" s="170"/>
      <c r="BI133" s="170"/>
      <c r="BJ133" s="170"/>
      <c r="BK133" s="170"/>
      <c r="BL133" s="170"/>
      <c r="BM133" s="170"/>
      <c r="BN133" s="170"/>
      <c r="BO133" s="170"/>
      <c r="BP133" s="170"/>
      <c r="BQ133" s="170"/>
      <c r="BR133" s="170"/>
      <c r="BS133" s="170"/>
      <c r="BT133" s="170"/>
      <c r="BU133" s="170"/>
      <c r="BV133" s="170"/>
      <c r="BW133" s="170"/>
      <c r="BX133" s="170"/>
      <c r="BY133" s="170"/>
      <c r="BZ133" s="170"/>
      <c r="CA133" s="170"/>
      <c r="CB133" s="170"/>
      <c r="CC133" s="170"/>
      <c r="CD133" s="170"/>
      <c r="CE133" s="170"/>
      <c r="CF133" s="170"/>
      <c r="CG133" s="170"/>
      <c r="CH133" s="170"/>
      <c r="CI133" s="170"/>
      <c r="CJ133" s="170"/>
      <c r="CK133" s="170"/>
      <c r="CL133" s="170"/>
      <c r="CM133" s="170"/>
      <c r="CN133" s="170"/>
      <c r="CO133" s="170"/>
      <c r="CP133" s="170"/>
      <c r="CQ133" s="170"/>
      <c r="CR133" s="170"/>
      <c r="CS133" s="170"/>
      <c r="CT133" s="170"/>
      <c r="CU133" s="170"/>
      <c r="CV133" s="170"/>
      <c r="CW133" s="170"/>
      <c r="CX133" s="170"/>
      <c r="CY133" s="170"/>
      <c r="CZ133" s="170"/>
      <c r="DA133" s="170"/>
      <c r="DB133" s="170"/>
      <c r="DC133" s="170"/>
      <c r="DD133" s="170"/>
      <c r="DE133" s="170"/>
      <c r="DF133" s="170"/>
      <c r="DG133" s="170"/>
      <c r="DH133" s="170"/>
      <c r="DI133" s="170"/>
      <c r="DJ133" s="170"/>
      <c r="DK133" s="170"/>
      <c r="DL133" s="170"/>
      <c r="DM133" s="170"/>
      <c r="DN133" s="170"/>
      <c r="DO133" s="170"/>
      <c r="DP133" s="170"/>
      <c r="DQ133" s="170"/>
      <c r="DR133" s="170"/>
      <c r="DS133" s="170"/>
      <c r="DT133" s="170"/>
      <c r="DU133" s="170"/>
      <c r="DV133" s="170"/>
      <c r="DW133" s="170"/>
      <c r="DX133" s="170"/>
      <c r="DY133" s="170"/>
      <c r="DZ133" s="170"/>
      <c r="EA133" s="170"/>
      <c r="EB133" s="170"/>
      <c r="EC133" s="170"/>
      <c r="ED133" s="170"/>
      <c r="EE133" s="170"/>
      <c r="EF133" s="170"/>
      <c r="EG133" s="170"/>
      <c r="EH133" s="170"/>
      <c r="EI133" s="170"/>
      <c r="EJ133" s="170"/>
      <c r="EK133" s="170"/>
      <c r="EL133" s="170"/>
      <c r="EM133" s="170"/>
      <c r="EN133" s="170"/>
      <c r="EO133" s="170"/>
      <c r="EP133" s="170"/>
      <c r="EQ133" s="170"/>
      <c r="ER133" s="170"/>
      <c r="ES133" s="170"/>
      <c r="ET133" s="170"/>
      <c r="EU133" s="170"/>
      <c r="EV133" s="170"/>
      <c r="EW133" s="170"/>
      <c r="EX133" s="170"/>
      <c r="EY133" s="170"/>
      <c r="EZ133" s="170"/>
      <c r="FA133" s="170"/>
      <c r="FB133" s="170"/>
      <c r="FC133" s="170"/>
      <c r="FD133" s="170"/>
      <c r="FE133" s="170"/>
      <c r="FF133" s="170"/>
      <c r="FG133" s="170"/>
      <c r="FH133" s="170"/>
      <c r="FI133" s="170"/>
      <c r="FJ133" s="170"/>
      <c r="FK133" s="170"/>
      <c r="FL133" s="170"/>
      <c r="FM133" s="170"/>
      <c r="FN133" s="170"/>
      <c r="FO133" s="170"/>
      <c r="FP133" s="170"/>
      <c r="FQ133" s="170"/>
      <c r="FR133" s="170"/>
      <c r="FS133" s="170"/>
      <c r="FT133" s="170"/>
      <c r="FU133" s="170"/>
      <c r="FV133" s="170"/>
      <c r="FW133" s="170"/>
      <c r="FX133" s="170"/>
      <c r="FY133" s="170"/>
      <c r="FZ133" s="170"/>
      <c r="GA133" s="170"/>
      <c r="GB133" s="170"/>
      <c r="GC133" s="170"/>
      <c r="GD133" s="170"/>
      <c r="GE133" s="170"/>
      <c r="GF133" s="170"/>
      <c r="GG133" s="170"/>
      <c r="GH133" s="170"/>
      <c r="GI133" s="170"/>
      <c r="GJ133" s="170"/>
      <c r="GK133" s="170"/>
      <c r="GL133" s="170"/>
      <c r="GM133" s="170"/>
      <c r="GN133" s="170"/>
      <c r="GO133" s="170"/>
      <c r="GP133" s="170"/>
    </row>
    <row r="134" spans="1:198" s="176" customFormat="1" ht="15.6">
      <c r="A134" s="548"/>
      <c r="B134" s="551" t="s">
        <v>919</v>
      </c>
      <c r="C134" s="547"/>
      <c r="D134" s="547"/>
      <c r="E134" s="547"/>
      <c r="F134" s="576"/>
      <c r="G134" s="175"/>
    </row>
    <row r="135" spans="1:198" s="176" customFormat="1" ht="16.2">
      <c r="A135" s="548" t="s">
        <v>1052</v>
      </c>
      <c r="B135" s="549" t="s">
        <v>920</v>
      </c>
      <c r="C135" s="547" t="s">
        <v>500</v>
      </c>
      <c r="D135" s="547">
        <f>CEILING((18+36.6+10.2)*3,1)</f>
        <v>195</v>
      </c>
      <c r="E135" s="547"/>
      <c r="F135" s="576"/>
      <c r="G135" s="175"/>
    </row>
    <row r="136" spans="1:198" s="176" customFormat="1" ht="15.6">
      <c r="A136" s="548"/>
      <c r="B136" s="549"/>
      <c r="C136" s="547"/>
      <c r="D136" s="547"/>
      <c r="E136" s="547"/>
      <c r="F136" s="576"/>
      <c r="G136" s="175"/>
    </row>
    <row r="137" spans="1:198" s="176" customFormat="1" ht="15.6">
      <c r="A137" s="166">
        <v>3.23</v>
      </c>
      <c r="B137" s="166" t="s">
        <v>605</v>
      </c>
      <c r="C137" s="163"/>
      <c r="D137" s="163"/>
      <c r="E137" s="157"/>
      <c r="F137" s="158"/>
      <c r="G137" s="175"/>
    </row>
    <row r="138" spans="1:198" s="176" customFormat="1" ht="31.2">
      <c r="A138" s="415" t="s">
        <v>1053</v>
      </c>
      <c r="B138" s="164" t="s">
        <v>703</v>
      </c>
      <c r="C138" s="163" t="s">
        <v>8</v>
      </c>
      <c r="D138" s="165">
        <f>D8</f>
        <v>72</v>
      </c>
      <c r="E138" s="157"/>
      <c r="F138" s="158"/>
      <c r="G138" s="175"/>
    </row>
    <row r="139" spans="1:198" s="176" customFormat="1" ht="31.2">
      <c r="A139" s="415" t="s">
        <v>1054</v>
      </c>
      <c r="B139" s="164" t="s">
        <v>606</v>
      </c>
      <c r="C139" s="163" t="s">
        <v>8</v>
      </c>
      <c r="D139" s="165">
        <f>D138</f>
        <v>72</v>
      </c>
      <c r="E139" s="157"/>
      <c r="F139" s="158"/>
      <c r="G139" s="175"/>
    </row>
    <row r="140" spans="1:198" s="176" customFormat="1" ht="15.6">
      <c r="A140" s="548"/>
      <c r="B140" s="549"/>
      <c r="C140" s="547"/>
      <c r="D140" s="547"/>
      <c r="E140" s="547"/>
      <c r="F140" s="576"/>
      <c r="G140" s="175"/>
    </row>
    <row r="141" spans="1:198" s="176" customFormat="1" ht="15.6">
      <c r="A141" s="545">
        <v>3.24</v>
      </c>
      <c r="B141" s="546" t="s">
        <v>921</v>
      </c>
      <c r="C141" s="547"/>
      <c r="D141" s="547"/>
      <c r="E141" s="547"/>
      <c r="F141" s="576"/>
      <c r="G141" s="175"/>
    </row>
    <row r="142" spans="1:198" s="182" customFormat="1" ht="28.8">
      <c r="A142" s="552"/>
      <c r="B142" s="551" t="s">
        <v>922</v>
      </c>
      <c r="C142" s="547"/>
      <c r="D142" s="547"/>
      <c r="E142" s="547"/>
      <c r="F142" s="576"/>
      <c r="G142" s="181"/>
    </row>
    <row r="143" spans="1:198" s="184" customFormat="1">
      <c r="A143" s="548"/>
      <c r="B143" s="551" t="s">
        <v>923</v>
      </c>
      <c r="C143" s="547"/>
      <c r="D143" s="547"/>
      <c r="E143" s="547"/>
      <c r="F143" s="576"/>
      <c r="G143" s="183"/>
    </row>
    <row r="144" spans="1:198" s="52" customFormat="1" ht="16.2">
      <c r="A144" s="553" t="s">
        <v>1055</v>
      </c>
      <c r="B144" s="554" t="s">
        <v>924</v>
      </c>
      <c r="C144" s="555" t="s">
        <v>925</v>
      </c>
      <c r="D144" s="555">
        <f>D130*3</f>
        <v>54</v>
      </c>
      <c r="E144" s="556"/>
      <c r="F144" s="576"/>
      <c r="G144" s="74"/>
    </row>
    <row r="145" spans="1:7" s="192" customFormat="1" ht="16.2">
      <c r="A145" s="553" t="s">
        <v>1056</v>
      </c>
      <c r="B145" s="554" t="s">
        <v>926</v>
      </c>
      <c r="C145" s="555" t="s">
        <v>925</v>
      </c>
      <c r="D145" s="555">
        <f>D135-D144</f>
        <v>141</v>
      </c>
      <c r="E145" s="556"/>
      <c r="F145" s="576"/>
      <c r="G145" s="191"/>
    </row>
    <row r="146" spans="1:7" s="198" customFormat="1" ht="15.6">
      <c r="A146" s="553"/>
      <c r="B146" s="557"/>
      <c r="C146" s="558"/>
      <c r="D146" s="558"/>
      <c r="E146" s="559"/>
      <c r="F146" s="576"/>
      <c r="G146" s="197"/>
    </row>
    <row r="147" spans="1:7" s="198" customFormat="1" ht="43.2">
      <c r="A147" s="553" t="s">
        <v>1057</v>
      </c>
      <c r="B147" s="554" t="s">
        <v>927</v>
      </c>
      <c r="C147" s="555" t="s">
        <v>925</v>
      </c>
      <c r="D147" s="555">
        <f>2*5</f>
        <v>10</v>
      </c>
      <c r="E147" s="556"/>
      <c r="F147" s="576"/>
      <c r="G147" s="197"/>
    </row>
    <row r="148" spans="1:7" s="198" customFormat="1" ht="15.6">
      <c r="A148" s="565"/>
      <c r="B148" s="566"/>
      <c r="C148" s="567"/>
      <c r="D148" s="567"/>
      <c r="E148" s="568"/>
      <c r="F148" s="576"/>
      <c r="G148" s="197"/>
    </row>
    <row r="149" spans="1:7" s="198" customFormat="1" ht="15.6">
      <c r="A149" s="542"/>
      <c r="B149" s="521" t="s">
        <v>1713</v>
      </c>
      <c r="C149" s="514"/>
      <c r="D149" s="514"/>
      <c r="E149" s="514"/>
      <c r="F149" s="577"/>
      <c r="G149" s="197"/>
    </row>
    <row r="150" spans="1:7" s="198" customFormat="1" ht="15.6">
      <c r="A150" s="845" t="s">
        <v>260</v>
      </c>
      <c r="B150" s="846" t="s">
        <v>13</v>
      </c>
      <c r="C150" s="847" t="s">
        <v>330</v>
      </c>
      <c r="D150" s="848" t="s">
        <v>331</v>
      </c>
      <c r="E150" s="849" t="s">
        <v>332</v>
      </c>
      <c r="F150" s="850"/>
      <c r="G150" s="197"/>
    </row>
    <row r="151" spans="1:7" s="198" customFormat="1" ht="31.2">
      <c r="A151" s="522"/>
      <c r="B151" s="532" t="s">
        <v>1456</v>
      </c>
      <c r="C151" s="528"/>
      <c r="D151" s="529"/>
      <c r="E151" s="528"/>
      <c r="F151" s="577"/>
      <c r="G151" s="197"/>
    </row>
    <row r="152" spans="1:7" s="198" customFormat="1" ht="15.6">
      <c r="A152" s="543"/>
      <c r="B152" s="527"/>
      <c r="C152" s="523"/>
      <c r="D152" s="524"/>
      <c r="E152" s="525"/>
      <c r="F152" s="576"/>
      <c r="G152" s="197"/>
    </row>
    <row r="153" spans="1:7" s="198" customFormat="1" ht="15.6">
      <c r="A153" s="546">
        <v>3.25</v>
      </c>
      <c r="B153" s="546" t="s">
        <v>310</v>
      </c>
      <c r="C153" s="528"/>
      <c r="D153" s="529"/>
      <c r="E153" s="528"/>
      <c r="F153" s="576"/>
      <c r="G153" s="197"/>
    </row>
    <row r="154" spans="1:7" s="198" customFormat="1" ht="43.2">
      <c r="A154" s="526"/>
      <c r="B154" s="551" t="s">
        <v>467</v>
      </c>
      <c r="C154" s="530"/>
      <c r="D154" s="529"/>
      <c r="E154" s="528"/>
      <c r="F154" s="576"/>
      <c r="G154" s="197"/>
    </row>
    <row r="155" spans="1:7" s="198" customFormat="1" ht="15.6">
      <c r="A155" s="526" t="s">
        <v>1058</v>
      </c>
      <c r="B155" s="531" t="s">
        <v>704</v>
      </c>
      <c r="C155" s="530" t="s">
        <v>10</v>
      </c>
      <c r="D155" s="530">
        <v>7</v>
      </c>
      <c r="E155" s="528"/>
      <c r="F155" s="576"/>
      <c r="G155" s="197"/>
    </row>
    <row r="156" spans="1:7" s="198" customFormat="1" ht="15.6">
      <c r="A156" s="828"/>
      <c r="B156" s="829"/>
      <c r="C156" s="830"/>
      <c r="D156" s="830"/>
      <c r="E156" s="831"/>
      <c r="F156" s="576"/>
      <c r="G156" s="197"/>
    </row>
    <row r="157" spans="1:7" s="198" customFormat="1" ht="15.6">
      <c r="A157" s="546">
        <v>3.26</v>
      </c>
      <c r="B157" s="546" t="s">
        <v>311</v>
      </c>
      <c r="C157" s="530"/>
      <c r="D157" s="530"/>
      <c r="E157" s="528"/>
      <c r="F157" s="576"/>
      <c r="G157" s="197"/>
    </row>
    <row r="158" spans="1:7" s="198" customFormat="1" ht="15.6">
      <c r="A158" s="526" t="s">
        <v>1059</v>
      </c>
      <c r="B158" s="531" t="s">
        <v>312</v>
      </c>
      <c r="C158" s="530" t="s">
        <v>304</v>
      </c>
      <c r="D158" s="530">
        <v>4</v>
      </c>
      <c r="E158" s="528"/>
      <c r="F158" s="576"/>
      <c r="G158" s="197"/>
    </row>
    <row r="159" spans="1:7" s="198" customFormat="1" ht="15.6">
      <c r="A159" s="828"/>
      <c r="B159" s="829"/>
      <c r="C159" s="830"/>
      <c r="D159" s="830"/>
      <c r="E159" s="831"/>
      <c r="F159" s="576"/>
      <c r="G159" s="197"/>
    </row>
    <row r="160" spans="1:7" s="198" customFormat="1" ht="15.6">
      <c r="A160" s="546">
        <v>3.27</v>
      </c>
      <c r="B160" s="546" t="s">
        <v>313</v>
      </c>
      <c r="C160" s="528"/>
      <c r="D160" s="529"/>
      <c r="E160" s="528"/>
      <c r="F160" s="576"/>
      <c r="G160" s="197"/>
    </row>
    <row r="161" spans="1:198" s="198" customFormat="1" ht="100.8">
      <c r="A161" s="526"/>
      <c r="B161" s="551" t="s">
        <v>631</v>
      </c>
      <c r="C161" s="530"/>
      <c r="D161" s="529"/>
      <c r="E161" s="528"/>
      <c r="F161" s="576"/>
      <c r="G161" s="197"/>
    </row>
    <row r="162" spans="1:198" s="198" customFormat="1" ht="15.6">
      <c r="A162" s="526"/>
      <c r="B162" s="533" t="s">
        <v>314</v>
      </c>
      <c r="C162" s="530"/>
      <c r="D162" s="529"/>
      <c r="E162" s="528"/>
      <c r="F162" s="576"/>
      <c r="G162" s="197"/>
    </row>
    <row r="163" spans="1:198" s="198" customFormat="1" ht="15.6">
      <c r="A163" s="526" t="s">
        <v>1060</v>
      </c>
      <c r="B163" s="533" t="s">
        <v>315</v>
      </c>
      <c r="C163" s="530" t="s">
        <v>304</v>
      </c>
      <c r="D163" s="530">
        <v>6</v>
      </c>
      <c r="E163" s="528"/>
      <c r="F163" s="576"/>
      <c r="G163" s="197"/>
    </row>
    <row r="164" spans="1:198" s="198" customFormat="1" ht="15.6">
      <c r="A164" s="828"/>
      <c r="B164" s="832"/>
      <c r="C164" s="830"/>
      <c r="D164" s="830"/>
      <c r="E164" s="831"/>
      <c r="F164" s="576"/>
      <c r="G164" s="197"/>
    </row>
    <row r="165" spans="1:198" s="149" customFormat="1" ht="15.6">
      <c r="A165" s="546">
        <v>3.28</v>
      </c>
      <c r="B165" s="546" t="s">
        <v>316</v>
      </c>
      <c r="C165" s="528"/>
      <c r="D165" s="529"/>
      <c r="E165" s="528"/>
      <c r="F165" s="576"/>
      <c r="G165" s="211"/>
    </row>
    <row r="166" spans="1:198" ht="72">
      <c r="A166" s="526"/>
      <c r="B166" s="551" t="s">
        <v>705</v>
      </c>
      <c r="C166" s="530"/>
      <c r="D166" s="529"/>
      <c r="E166" s="528"/>
      <c r="F166" s="576"/>
      <c r="G166" s="62"/>
    </row>
    <row r="167" spans="1:198" ht="15.6">
      <c r="A167" s="526" t="s">
        <v>1061</v>
      </c>
      <c r="B167" s="533" t="s">
        <v>317</v>
      </c>
      <c r="C167" s="530" t="s">
        <v>318</v>
      </c>
      <c r="D167" s="530">
        <v>80</v>
      </c>
      <c r="E167" s="528"/>
      <c r="F167" s="576"/>
      <c r="G167" s="62"/>
    </row>
    <row r="168" spans="1:198" ht="15.6">
      <c r="A168" s="834"/>
      <c r="B168" s="833"/>
      <c r="C168" s="830"/>
      <c r="D168" s="830"/>
      <c r="E168" s="831"/>
      <c r="F168" s="576"/>
      <c r="G168" s="62"/>
    </row>
    <row r="169" spans="1:198" ht="15.6">
      <c r="A169" s="546">
        <v>3.29</v>
      </c>
      <c r="B169" s="546" t="s">
        <v>1062</v>
      </c>
      <c r="C169" s="830"/>
      <c r="D169" s="830"/>
      <c r="E169" s="831"/>
      <c r="F169" s="576"/>
      <c r="G169" s="62"/>
    </row>
    <row r="170" spans="1:198" ht="43.2">
      <c r="A170" s="544"/>
      <c r="B170" s="551" t="s">
        <v>706</v>
      </c>
      <c r="C170" s="534"/>
      <c r="D170" s="530"/>
      <c r="E170" s="528"/>
      <c r="F170" s="576"/>
      <c r="G170" s="62"/>
    </row>
    <row r="171" spans="1:198" ht="15.6">
      <c r="A171" s="544" t="s">
        <v>1063</v>
      </c>
      <c r="B171" s="535" t="s">
        <v>319</v>
      </c>
      <c r="C171" s="534" t="s">
        <v>320</v>
      </c>
      <c r="D171" s="530">
        <v>4</v>
      </c>
      <c r="E171" s="528"/>
      <c r="F171" s="576"/>
      <c r="G171" s="62"/>
    </row>
    <row r="172" spans="1:198" ht="15.6">
      <c r="A172" s="836"/>
      <c r="B172" s="837"/>
      <c r="C172" s="835"/>
      <c r="D172" s="830"/>
      <c r="E172" s="831"/>
      <c r="F172" s="576"/>
      <c r="G172" s="62"/>
    </row>
    <row r="173" spans="1:198" ht="15.6">
      <c r="A173" s="838" t="s">
        <v>1064</v>
      </c>
      <c r="B173" s="546" t="s">
        <v>1065</v>
      </c>
      <c r="C173" s="835"/>
      <c r="D173" s="830"/>
      <c r="E173" s="831"/>
      <c r="F173" s="576"/>
      <c r="G173" s="62"/>
    </row>
    <row r="174" spans="1:198" ht="46.8">
      <c r="A174" s="544"/>
      <c r="B174" s="536" t="s">
        <v>707</v>
      </c>
      <c r="C174" s="530"/>
      <c r="D174" s="530"/>
      <c r="E174" s="528"/>
      <c r="F174" s="576"/>
      <c r="G174" s="62"/>
    </row>
    <row r="175" spans="1:198" s="161" customFormat="1" ht="15.6">
      <c r="A175" s="419"/>
      <c r="B175" s="211" t="s">
        <v>1009</v>
      </c>
      <c r="C175" s="208"/>
      <c r="D175" s="209"/>
      <c r="E175" s="210"/>
      <c r="F175" s="186"/>
      <c r="G175" s="159"/>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0"/>
      <c r="BN175" s="160"/>
      <c r="BO175" s="160"/>
      <c r="BP175" s="160"/>
      <c r="BQ175" s="160"/>
      <c r="BR175" s="160"/>
      <c r="BS175" s="160"/>
      <c r="BT175" s="160"/>
      <c r="BU175" s="160"/>
      <c r="BV175" s="160"/>
      <c r="BW175" s="160"/>
      <c r="BX175" s="160"/>
      <c r="BY175" s="160"/>
      <c r="BZ175" s="160"/>
      <c r="CA175" s="160"/>
      <c r="CB175" s="160"/>
      <c r="CC175" s="160"/>
      <c r="CD175" s="160"/>
      <c r="CE175" s="160"/>
      <c r="CF175" s="160"/>
      <c r="CG175" s="160"/>
      <c r="CH175" s="160"/>
      <c r="CI175" s="160"/>
      <c r="CJ175" s="160"/>
      <c r="CK175" s="160"/>
      <c r="CL175" s="160"/>
      <c r="CM175" s="160"/>
      <c r="CN175" s="160"/>
      <c r="CO175" s="160"/>
      <c r="CP175" s="160"/>
      <c r="CQ175" s="160"/>
      <c r="CR175" s="160"/>
      <c r="CS175" s="160"/>
      <c r="CT175" s="160"/>
      <c r="CU175" s="160"/>
      <c r="CV175" s="160"/>
      <c r="CW175" s="160"/>
      <c r="CX175" s="160"/>
      <c r="CY175" s="160"/>
      <c r="CZ175" s="160"/>
      <c r="DA175" s="160"/>
      <c r="DB175" s="160"/>
      <c r="DC175" s="160"/>
      <c r="DD175" s="160"/>
      <c r="DE175" s="160"/>
      <c r="DF175" s="160"/>
      <c r="DG175" s="160"/>
      <c r="DH175" s="160"/>
      <c r="DI175" s="160"/>
      <c r="DJ175" s="160"/>
      <c r="DK175" s="160"/>
      <c r="DL175" s="160"/>
      <c r="DM175" s="160"/>
      <c r="DN175" s="160"/>
      <c r="DO175" s="160"/>
      <c r="DP175" s="160"/>
      <c r="DQ175" s="160"/>
      <c r="DR175" s="160"/>
      <c r="DS175" s="160"/>
      <c r="DT175" s="160"/>
      <c r="DU175" s="160"/>
      <c r="DV175" s="160"/>
      <c r="DW175" s="160"/>
      <c r="DX175" s="160"/>
      <c r="DY175" s="160"/>
      <c r="DZ175" s="160"/>
      <c r="EA175" s="160"/>
      <c r="EB175" s="160"/>
      <c r="EC175" s="160"/>
      <c r="ED175" s="160"/>
      <c r="EE175" s="160"/>
      <c r="EF175" s="160"/>
      <c r="EG175" s="160"/>
      <c r="EH175" s="160"/>
      <c r="EI175" s="160"/>
      <c r="EJ175" s="160"/>
      <c r="EK175" s="160"/>
      <c r="EL175" s="160"/>
      <c r="EM175" s="160"/>
      <c r="EN175" s="160"/>
      <c r="EO175" s="160"/>
      <c r="EP175" s="160"/>
      <c r="EQ175" s="160"/>
      <c r="ER175" s="160"/>
      <c r="ES175" s="160"/>
      <c r="ET175" s="160"/>
      <c r="EU175" s="160"/>
      <c r="EV175" s="160"/>
      <c r="EW175" s="160"/>
      <c r="EX175" s="160"/>
      <c r="EY175" s="160"/>
      <c r="EZ175" s="160"/>
      <c r="FA175" s="160"/>
      <c r="FB175" s="160"/>
      <c r="FC175" s="160"/>
      <c r="FD175" s="160"/>
      <c r="FE175" s="160"/>
      <c r="FF175" s="160"/>
      <c r="FG175" s="160"/>
      <c r="FH175" s="160"/>
      <c r="FI175" s="160"/>
      <c r="FJ175" s="160"/>
      <c r="FK175" s="160"/>
      <c r="FL175" s="160"/>
      <c r="FM175" s="160"/>
      <c r="FN175" s="160"/>
      <c r="FO175" s="160"/>
      <c r="FP175" s="160"/>
      <c r="FQ175" s="160"/>
      <c r="FR175" s="160"/>
      <c r="FS175" s="160"/>
      <c r="FT175" s="160"/>
      <c r="FU175" s="160"/>
      <c r="FV175" s="160"/>
      <c r="FW175" s="160"/>
      <c r="FX175" s="160"/>
      <c r="FY175" s="160"/>
      <c r="FZ175" s="160"/>
      <c r="GA175" s="160"/>
      <c r="GB175" s="160"/>
      <c r="GC175" s="160"/>
      <c r="GD175" s="160"/>
      <c r="GE175" s="160"/>
      <c r="GF175" s="160"/>
      <c r="GG175" s="160"/>
      <c r="GH175" s="160"/>
      <c r="GI175" s="160"/>
      <c r="GJ175" s="160"/>
      <c r="GK175" s="160"/>
      <c r="GL175" s="160"/>
      <c r="GM175" s="160"/>
      <c r="GN175" s="160"/>
      <c r="GO175" s="160"/>
      <c r="GP175" s="160"/>
    </row>
    <row r="176" spans="1:198" s="161" customFormat="1" ht="62.4">
      <c r="A176" s="420" t="s">
        <v>1008</v>
      </c>
      <c r="B176" s="206" t="s">
        <v>1718</v>
      </c>
      <c r="C176" s="205" t="s">
        <v>329</v>
      </c>
      <c r="D176" s="196" t="s">
        <v>468</v>
      </c>
      <c r="E176" s="195"/>
      <c r="F176" s="190"/>
      <c r="G176" s="159"/>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0"/>
      <c r="CJ176" s="160"/>
      <c r="CK176" s="160"/>
      <c r="CL176" s="160"/>
      <c r="CM176" s="160"/>
      <c r="CN176" s="160"/>
      <c r="CO176" s="160"/>
      <c r="CP176" s="160"/>
      <c r="CQ176" s="160"/>
      <c r="CR176" s="160"/>
      <c r="CS176" s="160"/>
      <c r="CT176" s="160"/>
      <c r="CU176" s="160"/>
      <c r="CV176" s="160"/>
      <c r="CW176" s="160"/>
      <c r="CX176" s="160"/>
      <c r="CY176" s="160"/>
      <c r="CZ176" s="160"/>
      <c r="DA176" s="160"/>
      <c r="DB176" s="160"/>
      <c r="DC176" s="160"/>
      <c r="DD176" s="160"/>
      <c r="DE176" s="160"/>
      <c r="DF176" s="160"/>
      <c r="DG176" s="160"/>
      <c r="DH176" s="160"/>
      <c r="DI176" s="160"/>
      <c r="DJ176" s="160"/>
      <c r="DK176" s="160"/>
      <c r="DL176" s="160"/>
      <c r="DM176" s="160"/>
      <c r="DN176" s="160"/>
      <c r="DO176" s="160"/>
      <c r="DP176" s="160"/>
      <c r="DQ176" s="160"/>
      <c r="DR176" s="160"/>
      <c r="DS176" s="160"/>
      <c r="DT176" s="160"/>
      <c r="DU176" s="160"/>
      <c r="DV176" s="160"/>
      <c r="DW176" s="160"/>
      <c r="DX176" s="160"/>
      <c r="DY176" s="160"/>
      <c r="DZ176" s="160"/>
      <c r="EA176" s="160"/>
      <c r="EB176" s="160"/>
      <c r="EC176" s="160"/>
      <c r="ED176" s="160"/>
      <c r="EE176" s="160"/>
      <c r="EF176" s="160"/>
      <c r="EG176" s="160"/>
      <c r="EH176" s="160"/>
      <c r="EI176" s="160"/>
      <c r="EJ176" s="160"/>
      <c r="EK176" s="160"/>
      <c r="EL176" s="160"/>
      <c r="EM176" s="160"/>
      <c r="EN176" s="160"/>
      <c r="EO176" s="160"/>
      <c r="EP176" s="160"/>
      <c r="EQ176" s="160"/>
      <c r="ER176" s="160"/>
      <c r="ES176" s="160"/>
      <c r="ET176" s="160"/>
      <c r="EU176" s="160"/>
      <c r="EV176" s="160"/>
      <c r="EW176" s="160"/>
      <c r="EX176" s="160"/>
      <c r="EY176" s="160"/>
      <c r="EZ176" s="160"/>
      <c r="FA176" s="160"/>
      <c r="FB176" s="160"/>
      <c r="FC176" s="160"/>
      <c r="FD176" s="160"/>
      <c r="FE176" s="160"/>
      <c r="FF176" s="160"/>
      <c r="FG176" s="160"/>
      <c r="FH176" s="160"/>
      <c r="FI176" s="160"/>
      <c r="FJ176" s="160"/>
      <c r="FK176" s="160"/>
      <c r="FL176" s="160"/>
      <c r="FM176" s="160"/>
      <c r="FN176" s="160"/>
      <c r="FO176" s="160"/>
      <c r="FP176" s="160"/>
      <c r="FQ176" s="160"/>
      <c r="FR176" s="160"/>
      <c r="FS176" s="160"/>
      <c r="FT176" s="160"/>
      <c r="FU176" s="160"/>
      <c r="FV176" s="160"/>
      <c r="FW176" s="160"/>
      <c r="FX176" s="160"/>
      <c r="FY176" s="160"/>
      <c r="FZ176" s="160"/>
      <c r="GA176" s="160"/>
      <c r="GB176" s="160"/>
      <c r="GC176" s="160"/>
      <c r="GD176" s="160"/>
      <c r="GE176" s="160"/>
      <c r="GF176" s="160"/>
      <c r="GG176" s="160"/>
      <c r="GH176" s="160"/>
      <c r="GI176" s="160"/>
      <c r="GJ176" s="160"/>
      <c r="GK176" s="160"/>
      <c r="GL176" s="160"/>
      <c r="GM176" s="160"/>
      <c r="GN176" s="160"/>
      <c r="GO176" s="160"/>
      <c r="GP176" s="160"/>
    </row>
    <row r="177" spans="1:7" ht="15.6">
      <c r="A177" s="543"/>
      <c r="B177" s="537" t="s">
        <v>694</v>
      </c>
      <c r="C177" s="538"/>
      <c r="D177" s="539"/>
      <c r="E177" s="540"/>
      <c r="F177" s="577"/>
      <c r="G177" s="62"/>
    </row>
    <row r="178" spans="1:7">
      <c r="A178" s="573"/>
      <c r="B178" s="570"/>
      <c r="C178" s="570"/>
      <c r="D178" s="570"/>
      <c r="E178" s="570"/>
      <c r="F178" s="569"/>
      <c r="G178" s="62"/>
    </row>
    <row r="179" spans="1:7">
      <c r="A179" s="573"/>
      <c r="B179" s="572" t="s">
        <v>669</v>
      </c>
      <c r="C179" s="570"/>
      <c r="D179" s="570"/>
      <c r="E179" s="570"/>
      <c r="F179" s="571"/>
      <c r="G179" s="62"/>
    </row>
    <row r="180" spans="1:7">
      <c r="A180" s="573"/>
      <c r="B180" s="570"/>
      <c r="C180" s="570"/>
      <c r="D180" s="570"/>
      <c r="E180" s="570"/>
      <c r="F180" s="571"/>
      <c r="G180" s="62"/>
    </row>
    <row r="181" spans="1:7">
      <c r="A181" s="573"/>
      <c r="B181" s="570" t="str">
        <f>B6</f>
        <v>ELEMENT NO 1 - SUBSTRUCTURE (PROVISIONAL)</v>
      </c>
      <c r="C181" s="570"/>
      <c r="D181" s="570"/>
      <c r="E181" s="570"/>
      <c r="F181" s="571"/>
      <c r="G181" s="62"/>
    </row>
    <row r="182" spans="1:7" s="150" customFormat="1">
      <c r="A182" s="573"/>
      <c r="B182" s="570"/>
      <c r="C182" s="570"/>
      <c r="D182" s="570"/>
      <c r="E182" s="570"/>
      <c r="F182" s="571"/>
      <c r="G182" s="222"/>
    </row>
    <row r="183" spans="1:7">
      <c r="A183" s="573"/>
      <c r="B183" s="570" t="str">
        <f>B46</f>
        <v>ELEMENT NO. 2 - SUPERSTRUCTURE</v>
      </c>
      <c r="C183" s="570"/>
      <c r="D183" s="570"/>
      <c r="E183" s="570"/>
      <c r="F183" s="571"/>
    </row>
    <row r="184" spans="1:7">
      <c r="A184" s="573"/>
      <c r="B184" s="570"/>
      <c r="C184" s="570"/>
      <c r="D184" s="570"/>
      <c r="E184" s="570"/>
      <c r="F184" s="571"/>
    </row>
    <row r="185" spans="1:7">
      <c r="A185" s="573"/>
      <c r="B185" s="575" t="str">
        <f>B60</f>
        <v>ELEMENT NO. 3 SUPERSTRUCTURE WALLING</v>
      </c>
      <c r="C185" s="570"/>
      <c r="D185" s="570"/>
      <c r="E185" s="570"/>
      <c r="F185" s="571"/>
    </row>
    <row r="186" spans="1:7">
      <c r="A186" s="573"/>
      <c r="B186" s="570"/>
      <c r="C186" s="570"/>
      <c r="D186" s="570"/>
      <c r="E186" s="570"/>
      <c r="F186" s="571"/>
    </row>
    <row r="187" spans="1:7">
      <c r="A187" s="573"/>
      <c r="B187" s="570" t="str">
        <f>B72</f>
        <v>ELEMENT. NO. 4: ROOFING</v>
      </c>
      <c r="C187" s="570"/>
      <c r="D187" s="570"/>
      <c r="E187" s="570"/>
      <c r="F187" s="571"/>
    </row>
    <row r="188" spans="1:7">
      <c r="A188" s="573"/>
      <c r="B188" s="570"/>
      <c r="C188" s="570"/>
      <c r="D188" s="570"/>
      <c r="E188" s="570"/>
      <c r="F188" s="571"/>
    </row>
    <row r="189" spans="1:7" s="62" customFormat="1">
      <c r="A189" s="574"/>
      <c r="B189" s="570" t="str">
        <f>B104</f>
        <v>ELEMENT NO. 5:  DOORS AND WINDOWS</v>
      </c>
      <c r="C189" s="572"/>
      <c r="D189" s="572"/>
      <c r="E189" s="572"/>
      <c r="F189" s="1232"/>
    </row>
    <row r="191" spans="1:7">
      <c r="B191" s="504" t="str">
        <f>B121</f>
        <v xml:space="preserve">ELEMENT NO. 6: INTERNAL FINISHES </v>
      </c>
      <c r="F191" s="1229"/>
    </row>
    <row r="193" spans="1:6">
      <c r="B193" s="1228" t="str">
        <f>B151</f>
        <v>ELEMENT NO. 7: ELECTRICAL INSTALLATIONS AND SERVICES</v>
      </c>
      <c r="F193" s="1229"/>
    </row>
    <row r="195" spans="1:6" s="150" customFormat="1">
      <c r="A195" s="1230"/>
      <c r="B195" s="150" t="s">
        <v>1715</v>
      </c>
      <c r="F195" s="1231"/>
    </row>
  </sheetData>
  <pageMargins left="0.7" right="0.7" top="0.75" bottom="0.75" header="0.3" footer="0.3"/>
  <pageSetup scale="66" orientation="portrait" r:id="rId1"/>
  <rowBreaks count="5" manualBreakCount="5">
    <brk id="44" max="5" man="1"/>
    <brk id="70" max="5" man="1"/>
    <brk id="101" max="5" man="1"/>
    <brk id="149" max="5" man="1"/>
    <brk id="177"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27"/>
  <sheetViews>
    <sheetView view="pageBreakPreview" zoomScaleNormal="100" zoomScaleSheetLayoutView="100" workbookViewId="0">
      <pane xSplit="2" ySplit="1" topLeftCell="C2" activePane="bottomRight" state="frozen"/>
      <selection pane="topRight" activeCell="C1" sqref="C1"/>
      <selection pane="bottomLeft" activeCell="A2" sqref="A2"/>
      <selection pane="bottomRight" activeCell="C7" sqref="C7"/>
    </sheetView>
  </sheetViews>
  <sheetFormatPr defaultColWidth="8.88671875" defaultRowHeight="14.4"/>
  <cols>
    <col min="1" max="1" width="6.6640625" style="423" bestFit="1" customWidth="1"/>
    <col min="2" max="2" width="45.6640625" style="504" customWidth="1"/>
    <col min="3" max="3" width="8.88671875" style="504"/>
    <col min="4" max="4" width="6.88671875" style="504" bestFit="1" customWidth="1"/>
    <col min="5" max="5" width="8.5546875" style="504" customWidth="1"/>
    <col min="6" max="6" width="16" style="504" customWidth="1"/>
    <col min="7" max="16384" width="8.88671875" style="504"/>
  </cols>
  <sheetData>
    <row r="1" spans="1:198">
      <c r="A1" s="1252" t="s">
        <v>260</v>
      </c>
      <c r="B1" s="1253" t="s">
        <v>13</v>
      </c>
      <c r="C1" s="1253" t="s">
        <v>330</v>
      </c>
      <c r="D1" s="1254" t="s">
        <v>331</v>
      </c>
      <c r="E1" s="1255" t="s">
        <v>332</v>
      </c>
      <c r="F1" s="1256"/>
    </row>
    <row r="2" spans="1:198">
      <c r="A2" s="1257"/>
      <c r="B2" s="1258" t="str">
        <f>'1 Preliminaries '!B2</f>
        <v>PROPOSED MALE TRANSITION CENTER - BAIDOA</v>
      </c>
      <c r="C2" s="1259"/>
      <c r="D2" s="1179"/>
      <c r="E2" s="1104"/>
      <c r="F2" s="1260"/>
    </row>
    <row r="3" spans="1:198">
      <c r="A3" s="1257"/>
      <c r="B3" s="1261" t="s">
        <v>1077</v>
      </c>
      <c r="C3" s="1259"/>
      <c r="D3" s="1179"/>
      <c r="E3" s="1104"/>
      <c r="F3" s="1260"/>
    </row>
    <row r="4" spans="1:198">
      <c r="A4" s="1257"/>
      <c r="B4" s="1261"/>
      <c r="C4" s="1259"/>
      <c r="D4" s="1179"/>
      <c r="E4" s="1104"/>
      <c r="F4" s="1260"/>
    </row>
    <row r="5" spans="1:198">
      <c r="A5" s="1262">
        <v>4.0999999999999996</v>
      </c>
      <c r="B5" s="1263" t="s">
        <v>1078</v>
      </c>
      <c r="C5" s="1264"/>
      <c r="D5" s="1265"/>
      <c r="E5" s="1266"/>
      <c r="F5" s="1065"/>
    </row>
    <row r="6" spans="1:198" s="1239" customFormat="1">
      <c r="A6" s="1262"/>
      <c r="B6" s="1267"/>
      <c r="C6" s="1268"/>
      <c r="D6" s="1268"/>
      <c r="E6" s="1268"/>
      <c r="F6" s="1269"/>
      <c r="G6" s="1237"/>
      <c r="H6" s="1238"/>
      <c r="I6" s="1238"/>
      <c r="J6" s="1238"/>
      <c r="K6" s="1238"/>
      <c r="L6" s="1238"/>
      <c r="M6" s="1238"/>
      <c r="N6" s="1238"/>
      <c r="O6" s="1238"/>
      <c r="P6" s="1238"/>
      <c r="Q6" s="1238"/>
      <c r="R6" s="1238"/>
      <c r="S6" s="1238"/>
      <c r="T6" s="1238"/>
      <c r="U6" s="1238"/>
      <c r="V6" s="1238"/>
      <c r="W6" s="1238"/>
      <c r="X6" s="1238"/>
      <c r="Y6" s="1238"/>
      <c r="Z6" s="1238"/>
      <c r="AA6" s="1238"/>
      <c r="AB6" s="1238"/>
      <c r="AC6" s="1238"/>
      <c r="AD6" s="1238"/>
      <c r="AE6" s="1238"/>
      <c r="AF6" s="1238"/>
      <c r="AG6" s="1238"/>
      <c r="AH6" s="1238"/>
      <c r="AI6" s="1238"/>
      <c r="AJ6" s="1238"/>
      <c r="AK6" s="1238"/>
      <c r="AL6" s="1238"/>
      <c r="AM6" s="1238"/>
      <c r="AN6" s="1238"/>
      <c r="AO6" s="1238"/>
      <c r="AP6" s="1238"/>
      <c r="AQ6" s="1238"/>
      <c r="AR6" s="1238"/>
      <c r="AS6" s="1238"/>
      <c r="AT6" s="1238"/>
      <c r="AU6" s="1238"/>
      <c r="AV6" s="1238"/>
      <c r="AW6" s="1238"/>
      <c r="AX6" s="1238"/>
      <c r="AY6" s="1238"/>
      <c r="AZ6" s="1238"/>
      <c r="BA6" s="1238"/>
      <c r="BB6" s="1238"/>
      <c r="BC6" s="1238"/>
      <c r="BD6" s="1238"/>
      <c r="BE6" s="1238"/>
      <c r="BF6" s="1238"/>
      <c r="BG6" s="1238"/>
      <c r="BH6" s="1238"/>
      <c r="BI6" s="1238"/>
      <c r="BJ6" s="1238"/>
      <c r="BK6" s="1238"/>
      <c r="BL6" s="1238"/>
      <c r="BM6" s="1238"/>
      <c r="BN6" s="1238"/>
      <c r="BO6" s="1238"/>
      <c r="BP6" s="1238"/>
      <c r="BQ6" s="1238"/>
      <c r="BR6" s="1238"/>
      <c r="BS6" s="1238"/>
      <c r="BT6" s="1238"/>
      <c r="BU6" s="1238"/>
      <c r="BV6" s="1238"/>
      <c r="BW6" s="1238"/>
      <c r="BX6" s="1238"/>
      <c r="BY6" s="1238"/>
      <c r="BZ6" s="1238"/>
      <c r="CA6" s="1238"/>
      <c r="CB6" s="1238"/>
      <c r="CC6" s="1238"/>
      <c r="CD6" s="1238"/>
      <c r="CE6" s="1238"/>
      <c r="CF6" s="1238"/>
      <c r="CG6" s="1238"/>
      <c r="CH6" s="1238"/>
      <c r="CI6" s="1238"/>
      <c r="CJ6" s="1238"/>
      <c r="CK6" s="1238"/>
      <c r="CL6" s="1238"/>
      <c r="CM6" s="1238"/>
      <c r="CN6" s="1238"/>
      <c r="CO6" s="1238"/>
      <c r="CP6" s="1238"/>
      <c r="CQ6" s="1238"/>
      <c r="CR6" s="1238"/>
      <c r="CS6" s="1238"/>
      <c r="CT6" s="1238"/>
      <c r="CU6" s="1238"/>
      <c r="CV6" s="1238"/>
      <c r="CW6" s="1238"/>
      <c r="CX6" s="1238"/>
      <c r="CY6" s="1238"/>
      <c r="CZ6" s="1238"/>
      <c r="DA6" s="1238"/>
      <c r="DB6" s="1238"/>
      <c r="DC6" s="1238"/>
      <c r="DD6" s="1238"/>
      <c r="DE6" s="1238"/>
      <c r="DF6" s="1238"/>
      <c r="DG6" s="1238"/>
      <c r="DH6" s="1238"/>
      <c r="DI6" s="1238"/>
      <c r="DJ6" s="1238"/>
      <c r="DK6" s="1238"/>
      <c r="DL6" s="1238"/>
      <c r="DM6" s="1238"/>
      <c r="DN6" s="1238"/>
      <c r="DO6" s="1238"/>
      <c r="DP6" s="1238"/>
      <c r="DQ6" s="1238"/>
      <c r="DR6" s="1238"/>
      <c r="DS6" s="1238"/>
      <c r="DT6" s="1238"/>
      <c r="DU6" s="1238"/>
      <c r="DV6" s="1238"/>
      <c r="DW6" s="1238"/>
      <c r="DX6" s="1238"/>
      <c r="DY6" s="1238"/>
      <c r="DZ6" s="1238"/>
      <c r="EA6" s="1238"/>
      <c r="EB6" s="1238"/>
      <c r="EC6" s="1238"/>
      <c r="ED6" s="1238"/>
      <c r="EE6" s="1238"/>
      <c r="EF6" s="1238"/>
      <c r="EG6" s="1238"/>
      <c r="EH6" s="1238"/>
      <c r="EI6" s="1238"/>
      <c r="EJ6" s="1238"/>
      <c r="EK6" s="1238"/>
      <c r="EL6" s="1238"/>
      <c r="EM6" s="1238"/>
      <c r="EN6" s="1238"/>
      <c r="EO6" s="1238"/>
      <c r="EP6" s="1238"/>
      <c r="EQ6" s="1238"/>
      <c r="ER6" s="1238"/>
      <c r="ES6" s="1238"/>
      <c r="ET6" s="1238"/>
      <c r="EU6" s="1238"/>
      <c r="EV6" s="1238"/>
      <c r="EW6" s="1238"/>
      <c r="EX6" s="1238"/>
      <c r="EY6" s="1238"/>
      <c r="EZ6" s="1238"/>
      <c r="FA6" s="1238"/>
      <c r="FB6" s="1238"/>
      <c r="FC6" s="1238"/>
      <c r="FD6" s="1238"/>
      <c r="FE6" s="1238"/>
      <c r="FF6" s="1238"/>
      <c r="FG6" s="1238"/>
      <c r="FH6" s="1238"/>
      <c r="FI6" s="1238"/>
      <c r="FJ6" s="1238"/>
      <c r="FK6" s="1238"/>
      <c r="FL6" s="1238"/>
      <c r="FM6" s="1238"/>
      <c r="FN6" s="1238"/>
      <c r="FO6" s="1238"/>
      <c r="FP6" s="1238"/>
      <c r="FQ6" s="1238"/>
      <c r="FR6" s="1238"/>
      <c r="FS6" s="1238"/>
      <c r="FT6" s="1238"/>
      <c r="FU6" s="1238"/>
      <c r="FV6" s="1238"/>
      <c r="FW6" s="1238"/>
      <c r="FX6" s="1238"/>
      <c r="FY6" s="1238"/>
      <c r="FZ6" s="1238"/>
      <c r="GA6" s="1238"/>
      <c r="GB6" s="1238"/>
      <c r="GC6" s="1238"/>
      <c r="GD6" s="1238"/>
      <c r="GE6" s="1238"/>
      <c r="GF6" s="1238"/>
      <c r="GG6" s="1238"/>
      <c r="GH6" s="1238"/>
      <c r="GI6" s="1238"/>
      <c r="GJ6" s="1238"/>
      <c r="GK6" s="1238"/>
      <c r="GL6" s="1238"/>
      <c r="GM6" s="1238"/>
      <c r="GN6" s="1238"/>
      <c r="GO6" s="1238"/>
      <c r="GP6" s="1238"/>
    </row>
    <row r="7" spans="1:198" s="1239" customFormat="1">
      <c r="A7" s="1270"/>
      <c r="B7" s="1271" t="s">
        <v>1081</v>
      </c>
      <c r="C7" s="1268"/>
      <c r="D7" s="1268"/>
      <c r="E7" s="1268"/>
      <c r="F7" s="1269"/>
      <c r="G7" s="1237"/>
      <c r="H7" s="1238"/>
      <c r="I7" s="1238"/>
      <c r="J7" s="1238"/>
      <c r="K7" s="1238"/>
      <c r="L7" s="1238"/>
      <c r="M7" s="1238"/>
      <c r="N7" s="1238"/>
      <c r="O7" s="1238"/>
      <c r="P7" s="1238"/>
      <c r="Q7" s="1238"/>
      <c r="R7" s="1238"/>
      <c r="S7" s="1238"/>
      <c r="T7" s="1238"/>
      <c r="U7" s="1238"/>
      <c r="V7" s="1238"/>
      <c r="W7" s="1238"/>
      <c r="X7" s="1238"/>
      <c r="Y7" s="1238"/>
      <c r="Z7" s="1238"/>
      <c r="AA7" s="1238"/>
      <c r="AB7" s="1238"/>
      <c r="AC7" s="1238"/>
      <c r="AD7" s="1238"/>
      <c r="AE7" s="1238"/>
      <c r="AF7" s="1238"/>
      <c r="AG7" s="1238"/>
      <c r="AH7" s="1238"/>
      <c r="AI7" s="1238"/>
      <c r="AJ7" s="1238"/>
      <c r="AK7" s="1238"/>
      <c r="AL7" s="1238"/>
      <c r="AM7" s="1238"/>
      <c r="AN7" s="1238"/>
      <c r="AO7" s="1238"/>
      <c r="AP7" s="1238"/>
      <c r="AQ7" s="1238"/>
      <c r="AR7" s="1238"/>
      <c r="AS7" s="1238"/>
      <c r="AT7" s="1238"/>
      <c r="AU7" s="1238"/>
      <c r="AV7" s="1238"/>
      <c r="AW7" s="1238"/>
      <c r="AX7" s="1238"/>
      <c r="AY7" s="1238"/>
      <c r="AZ7" s="1238"/>
      <c r="BA7" s="1238"/>
      <c r="BB7" s="1238"/>
      <c r="BC7" s="1238"/>
      <c r="BD7" s="1238"/>
      <c r="BE7" s="1238"/>
      <c r="BF7" s="1238"/>
      <c r="BG7" s="1238"/>
      <c r="BH7" s="1238"/>
      <c r="BI7" s="1238"/>
      <c r="BJ7" s="1238"/>
      <c r="BK7" s="1238"/>
      <c r="BL7" s="1238"/>
      <c r="BM7" s="1238"/>
      <c r="BN7" s="1238"/>
      <c r="BO7" s="1238"/>
      <c r="BP7" s="1238"/>
      <c r="BQ7" s="1238"/>
      <c r="BR7" s="1238"/>
      <c r="BS7" s="1238"/>
      <c r="BT7" s="1238"/>
      <c r="BU7" s="1238"/>
      <c r="BV7" s="1238"/>
      <c r="BW7" s="1238"/>
      <c r="BX7" s="1238"/>
      <c r="BY7" s="1238"/>
      <c r="BZ7" s="1238"/>
      <c r="CA7" s="1238"/>
      <c r="CB7" s="1238"/>
      <c r="CC7" s="1238"/>
      <c r="CD7" s="1238"/>
      <c r="CE7" s="1238"/>
      <c r="CF7" s="1238"/>
      <c r="CG7" s="1238"/>
      <c r="CH7" s="1238"/>
      <c r="CI7" s="1238"/>
      <c r="CJ7" s="1238"/>
      <c r="CK7" s="1238"/>
      <c r="CL7" s="1238"/>
      <c r="CM7" s="1238"/>
      <c r="CN7" s="1238"/>
      <c r="CO7" s="1238"/>
      <c r="CP7" s="1238"/>
      <c r="CQ7" s="1238"/>
      <c r="CR7" s="1238"/>
      <c r="CS7" s="1238"/>
      <c r="CT7" s="1238"/>
      <c r="CU7" s="1238"/>
      <c r="CV7" s="1238"/>
      <c r="CW7" s="1238"/>
      <c r="CX7" s="1238"/>
      <c r="CY7" s="1238"/>
      <c r="CZ7" s="1238"/>
      <c r="DA7" s="1238"/>
      <c r="DB7" s="1238"/>
      <c r="DC7" s="1238"/>
      <c r="DD7" s="1238"/>
      <c r="DE7" s="1238"/>
      <c r="DF7" s="1238"/>
      <c r="DG7" s="1238"/>
      <c r="DH7" s="1238"/>
      <c r="DI7" s="1238"/>
      <c r="DJ7" s="1238"/>
      <c r="DK7" s="1238"/>
      <c r="DL7" s="1238"/>
      <c r="DM7" s="1238"/>
      <c r="DN7" s="1238"/>
      <c r="DO7" s="1238"/>
      <c r="DP7" s="1238"/>
      <c r="DQ7" s="1238"/>
      <c r="DR7" s="1238"/>
      <c r="DS7" s="1238"/>
      <c r="DT7" s="1238"/>
      <c r="DU7" s="1238"/>
      <c r="DV7" s="1238"/>
      <c r="DW7" s="1238"/>
      <c r="DX7" s="1238"/>
      <c r="DY7" s="1238"/>
      <c r="DZ7" s="1238"/>
      <c r="EA7" s="1238"/>
      <c r="EB7" s="1238"/>
      <c r="EC7" s="1238"/>
      <c r="ED7" s="1238"/>
      <c r="EE7" s="1238"/>
      <c r="EF7" s="1238"/>
      <c r="EG7" s="1238"/>
      <c r="EH7" s="1238"/>
      <c r="EI7" s="1238"/>
      <c r="EJ7" s="1238"/>
      <c r="EK7" s="1238"/>
      <c r="EL7" s="1238"/>
      <c r="EM7" s="1238"/>
      <c r="EN7" s="1238"/>
      <c r="EO7" s="1238"/>
      <c r="EP7" s="1238"/>
      <c r="EQ7" s="1238"/>
      <c r="ER7" s="1238"/>
      <c r="ES7" s="1238"/>
      <c r="ET7" s="1238"/>
      <c r="EU7" s="1238"/>
      <c r="EV7" s="1238"/>
      <c r="EW7" s="1238"/>
      <c r="EX7" s="1238"/>
      <c r="EY7" s="1238"/>
      <c r="EZ7" s="1238"/>
      <c r="FA7" s="1238"/>
      <c r="FB7" s="1238"/>
      <c r="FC7" s="1238"/>
      <c r="FD7" s="1238"/>
      <c r="FE7" s="1238"/>
      <c r="FF7" s="1238"/>
      <c r="FG7" s="1238"/>
      <c r="FH7" s="1238"/>
      <c r="FI7" s="1238"/>
      <c r="FJ7" s="1238"/>
      <c r="FK7" s="1238"/>
      <c r="FL7" s="1238"/>
      <c r="FM7" s="1238"/>
      <c r="FN7" s="1238"/>
      <c r="FO7" s="1238"/>
      <c r="FP7" s="1238"/>
      <c r="FQ7" s="1238"/>
      <c r="FR7" s="1238"/>
      <c r="FS7" s="1238"/>
      <c r="FT7" s="1238"/>
      <c r="FU7" s="1238"/>
      <c r="FV7" s="1238"/>
      <c r="FW7" s="1238"/>
      <c r="FX7" s="1238"/>
      <c r="FY7" s="1238"/>
      <c r="FZ7" s="1238"/>
      <c r="GA7" s="1238"/>
      <c r="GB7" s="1238"/>
      <c r="GC7" s="1238"/>
      <c r="GD7" s="1238"/>
      <c r="GE7" s="1238"/>
      <c r="GF7" s="1238"/>
      <c r="GG7" s="1238"/>
      <c r="GH7" s="1238"/>
      <c r="GI7" s="1238"/>
      <c r="GJ7" s="1238"/>
      <c r="GK7" s="1238"/>
      <c r="GL7" s="1238"/>
      <c r="GM7" s="1238"/>
      <c r="GN7" s="1238"/>
      <c r="GO7" s="1238"/>
      <c r="GP7" s="1238"/>
    </row>
    <row r="8" spans="1:198" s="1239" customFormat="1">
      <c r="A8" s="1270"/>
      <c r="B8" s="1271"/>
      <c r="C8" s="1268"/>
      <c r="D8" s="1268"/>
      <c r="E8" s="1268"/>
      <c r="F8" s="1269"/>
      <c r="G8" s="1237"/>
      <c r="H8" s="1238"/>
      <c r="I8" s="1238"/>
      <c r="J8" s="1238"/>
      <c r="K8" s="1238"/>
      <c r="L8" s="1238"/>
      <c r="M8" s="1238"/>
      <c r="N8" s="1238"/>
      <c r="O8" s="1238"/>
      <c r="P8" s="1238"/>
      <c r="Q8" s="1238"/>
      <c r="R8" s="1238"/>
      <c r="S8" s="1238"/>
      <c r="T8" s="1238"/>
      <c r="U8" s="1238"/>
      <c r="V8" s="1238"/>
      <c r="W8" s="1238"/>
      <c r="X8" s="1238"/>
      <c r="Y8" s="1238"/>
      <c r="Z8" s="1238"/>
      <c r="AA8" s="1238"/>
      <c r="AB8" s="1238"/>
      <c r="AC8" s="1238"/>
      <c r="AD8" s="1238"/>
      <c r="AE8" s="1238"/>
      <c r="AF8" s="1238"/>
      <c r="AG8" s="1238"/>
      <c r="AH8" s="1238"/>
      <c r="AI8" s="1238"/>
      <c r="AJ8" s="1238"/>
      <c r="AK8" s="1238"/>
      <c r="AL8" s="1238"/>
      <c r="AM8" s="1238"/>
      <c r="AN8" s="1238"/>
      <c r="AO8" s="1238"/>
      <c r="AP8" s="1238"/>
      <c r="AQ8" s="1238"/>
      <c r="AR8" s="1238"/>
      <c r="AS8" s="1238"/>
      <c r="AT8" s="1238"/>
      <c r="AU8" s="1238"/>
      <c r="AV8" s="1238"/>
      <c r="AW8" s="1238"/>
      <c r="AX8" s="1238"/>
      <c r="AY8" s="1238"/>
      <c r="AZ8" s="1238"/>
      <c r="BA8" s="1238"/>
      <c r="BB8" s="1238"/>
      <c r="BC8" s="1238"/>
      <c r="BD8" s="1238"/>
      <c r="BE8" s="1238"/>
      <c r="BF8" s="1238"/>
      <c r="BG8" s="1238"/>
      <c r="BH8" s="1238"/>
      <c r="BI8" s="1238"/>
      <c r="BJ8" s="1238"/>
      <c r="BK8" s="1238"/>
      <c r="BL8" s="1238"/>
      <c r="BM8" s="1238"/>
      <c r="BN8" s="1238"/>
      <c r="BO8" s="1238"/>
      <c r="BP8" s="1238"/>
      <c r="BQ8" s="1238"/>
      <c r="BR8" s="1238"/>
      <c r="BS8" s="1238"/>
      <c r="BT8" s="1238"/>
      <c r="BU8" s="1238"/>
      <c r="BV8" s="1238"/>
      <c r="BW8" s="1238"/>
      <c r="BX8" s="1238"/>
      <c r="BY8" s="1238"/>
      <c r="BZ8" s="1238"/>
      <c r="CA8" s="1238"/>
      <c r="CB8" s="1238"/>
      <c r="CC8" s="1238"/>
      <c r="CD8" s="1238"/>
      <c r="CE8" s="1238"/>
      <c r="CF8" s="1238"/>
      <c r="CG8" s="1238"/>
      <c r="CH8" s="1238"/>
      <c r="CI8" s="1238"/>
      <c r="CJ8" s="1238"/>
      <c r="CK8" s="1238"/>
      <c r="CL8" s="1238"/>
      <c r="CM8" s="1238"/>
      <c r="CN8" s="1238"/>
      <c r="CO8" s="1238"/>
      <c r="CP8" s="1238"/>
      <c r="CQ8" s="1238"/>
      <c r="CR8" s="1238"/>
      <c r="CS8" s="1238"/>
      <c r="CT8" s="1238"/>
      <c r="CU8" s="1238"/>
      <c r="CV8" s="1238"/>
      <c r="CW8" s="1238"/>
      <c r="CX8" s="1238"/>
      <c r="CY8" s="1238"/>
      <c r="CZ8" s="1238"/>
      <c r="DA8" s="1238"/>
      <c r="DB8" s="1238"/>
      <c r="DC8" s="1238"/>
      <c r="DD8" s="1238"/>
      <c r="DE8" s="1238"/>
      <c r="DF8" s="1238"/>
      <c r="DG8" s="1238"/>
      <c r="DH8" s="1238"/>
      <c r="DI8" s="1238"/>
      <c r="DJ8" s="1238"/>
      <c r="DK8" s="1238"/>
      <c r="DL8" s="1238"/>
      <c r="DM8" s="1238"/>
      <c r="DN8" s="1238"/>
      <c r="DO8" s="1238"/>
      <c r="DP8" s="1238"/>
      <c r="DQ8" s="1238"/>
      <c r="DR8" s="1238"/>
      <c r="DS8" s="1238"/>
      <c r="DT8" s="1238"/>
      <c r="DU8" s="1238"/>
      <c r="DV8" s="1238"/>
      <c r="DW8" s="1238"/>
      <c r="DX8" s="1238"/>
      <c r="DY8" s="1238"/>
      <c r="DZ8" s="1238"/>
      <c r="EA8" s="1238"/>
      <c r="EB8" s="1238"/>
      <c r="EC8" s="1238"/>
      <c r="ED8" s="1238"/>
      <c r="EE8" s="1238"/>
      <c r="EF8" s="1238"/>
      <c r="EG8" s="1238"/>
      <c r="EH8" s="1238"/>
      <c r="EI8" s="1238"/>
      <c r="EJ8" s="1238"/>
      <c r="EK8" s="1238"/>
      <c r="EL8" s="1238"/>
      <c r="EM8" s="1238"/>
      <c r="EN8" s="1238"/>
      <c r="EO8" s="1238"/>
      <c r="EP8" s="1238"/>
      <c r="EQ8" s="1238"/>
      <c r="ER8" s="1238"/>
      <c r="ES8" s="1238"/>
      <c r="ET8" s="1238"/>
      <c r="EU8" s="1238"/>
      <c r="EV8" s="1238"/>
      <c r="EW8" s="1238"/>
      <c r="EX8" s="1238"/>
      <c r="EY8" s="1238"/>
      <c r="EZ8" s="1238"/>
      <c r="FA8" s="1238"/>
      <c r="FB8" s="1238"/>
      <c r="FC8" s="1238"/>
      <c r="FD8" s="1238"/>
      <c r="FE8" s="1238"/>
      <c r="FF8" s="1238"/>
      <c r="FG8" s="1238"/>
      <c r="FH8" s="1238"/>
      <c r="FI8" s="1238"/>
      <c r="FJ8" s="1238"/>
      <c r="FK8" s="1238"/>
      <c r="FL8" s="1238"/>
      <c r="FM8" s="1238"/>
      <c r="FN8" s="1238"/>
      <c r="FO8" s="1238"/>
      <c r="FP8" s="1238"/>
      <c r="FQ8" s="1238"/>
      <c r="FR8" s="1238"/>
      <c r="FS8" s="1238"/>
      <c r="FT8" s="1238"/>
      <c r="FU8" s="1238"/>
      <c r="FV8" s="1238"/>
      <c r="FW8" s="1238"/>
      <c r="FX8" s="1238"/>
      <c r="FY8" s="1238"/>
      <c r="FZ8" s="1238"/>
      <c r="GA8" s="1238"/>
      <c r="GB8" s="1238"/>
      <c r="GC8" s="1238"/>
      <c r="GD8" s="1238"/>
      <c r="GE8" s="1238"/>
      <c r="GF8" s="1238"/>
      <c r="GG8" s="1238"/>
      <c r="GH8" s="1238"/>
      <c r="GI8" s="1238"/>
      <c r="GJ8" s="1238"/>
      <c r="GK8" s="1238"/>
      <c r="GL8" s="1238"/>
      <c r="GM8" s="1238"/>
      <c r="GN8" s="1238"/>
      <c r="GO8" s="1238"/>
      <c r="GP8" s="1238"/>
    </row>
    <row r="9" spans="1:198" s="66" customFormat="1">
      <c r="A9" s="1272"/>
      <c r="B9" s="1273" t="s">
        <v>1100</v>
      </c>
      <c r="C9" s="1047"/>
      <c r="D9" s="1049"/>
      <c r="E9" s="1047"/>
      <c r="F9" s="1274"/>
    </row>
    <row r="10" spans="1:198" s="1233" customFormat="1">
      <c r="A10" s="1275" t="s">
        <v>1719</v>
      </c>
      <c r="B10" s="1276" t="s">
        <v>1101</v>
      </c>
      <c r="C10" s="1277" t="s">
        <v>282</v>
      </c>
      <c r="D10" s="1176">
        <f>CEILING((36.4+9+3*4)*0.2*0.4,1)</f>
        <v>5</v>
      </c>
      <c r="E10" s="1277"/>
      <c r="F10" s="1278"/>
    </row>
    <row r="11" spans="1:198" s="1233" customFormat="1">
      <c r="A11" s="1275"/>
      <c r="B11" s="1276" t="s">
        <v>1675</v>
      </c>
      <c r="C11" s="1277" t="s">
        <v>282</v>
      </c>
      <c r="D11" s="1179">
        <f>CEILING(81.8*0.15,1)</f>
        <v>13</v>
      </c>
      <c r="E11" s="1180"/>
      <c r="F11" s="1181"/>
    </row>
    <row r="12" spans="1:198" s="1233" customFormat="1">
      <c r="A12" s="1275"/>
      <c r="B12" s="1276"/>
      <c r="C12" s="1277"/>
      <c r="D12" s="1179"/>
      <c r="E12" s="1180"/>
      <c r="F12" s="1181"/>
    </row>
    <row r="13" spans="1:198" s="66" customFormat="1">
      <c r="A13" s="1272"/>
      <c r="B13" s="1273" t="s">
        <v>534</v>
      </c>
      <c r="C13" s="1047"/>
      <c r="D13" s="1049"/>
      <c r="E13" s="1047"/>
      <c r="F13" s="1274"/>
    </row>
    <row r="14" spans="1:198" s="66" customFormat="1">
      <c r="A14" s="1272"/>
      <c r="B14" s="1273" t="s">
        <v>535</v>
      </c>
      <c r="C14" s="1047"/>
      <c r="D14" s="1049"/>
      <c r="E14" s="1047"/>
      <c r="F14" s="1274"/>
    </row>
    <row r="15" spans="1:198" s="66" customFormat="1">
      <c r="A15" s="1272" t="s">
        <v>1720</v>
      </c>
      <c r="B15" s="1279" t="s">
        <v>1102</v>
      </c>
      <c r="C15" s="1047" t="s">
        <v>287</v>
      </c>
      <c r="D15" s="1048">
        <f>CEILING((36.4+9+3*4)/0.2*0.7*0.395,1)</f>
        <v>80</v>
      </c>
      <c r="E15" s="1047"/>
      <c r="F15" s="1274"/>
    </row>
    <row r="16" spans="1:198" s="66" customFormat="1">
      <c r="A16" s="1272" t="s">
        <v>1721</v>
      </c>
      <c r="B16" s="1279" t="s">
        <v>1103</v>
      </c>
      <c r="C16" s="1047" t="s">
        <v>287</v>
      </c>
      <c r="D16" s="1048">
        <f>CEILING((36.4+9+3*4)*4*1.15*0.888,1)</f>
        <v>235</v>
      </c>
      <c r="E16" s="1047"/>
      <c r="F16" s="1274"/>
    </row>
    <row r="17" spans="1:198" s="66" customFormat="1">
      <c r="A17" s="1272"/>
      <c r="B17" s="1280" t="s">
        <v>1104</v>
      </c>
      <c r="C17" s="1047"/>
      <c r="D17" s="1049"/>
      <c r="E17" s="1047"/>
      <c r="F17" s="1274"/>
    </row>
    <row r="18" spans="1:198" s="66" customFormat="1">
      <c r="A18" s="1272" t="s">
        <v>1722</v>
      </c>
      <c r="B18" s="1279" t="s">
        <v>1105</v>
      </c>
      <c r="C18" s="1047" t="s">
        <v>8</v>
      </c>
      <c r="D18" s="1048">
        <f>CEILING((36.4+9+3*4)*2*0.2,1)</f>
        <v>23</v>
      </c>
      <c r="E18" s="1047"/>
      <c r="F18" s="1274"/>
    </row>
    <row r="19" spans="1:198" s="66" customFormat="1">
      <c r="A19" s="1272"/>
      <c r="B19" s="1279" t="s">
        <v>1684</v>
      </c>
      <c r="C19" s="1047" t="s">
        <v>8</v>
      </c>
      <c r="D19" s="1048">
        <v>82</v>
      </c>
      <c r="E19" s="1047"/>
      <c r="F19" s="1274"/>
    </row>
    <row r="20" spans="1:198" s="1241" customFormat="1">
      <c r="A20" s="1281"/>
      <c r="B20" s="1282"/>
      <c r="C20" s="1282"/>
      <c r="D20" s="1282"/>
      <c r="E20" s="1282"/>
      <c r="F20" s="1283"/>
      <c r="G20" s="1240"/>
    </row>
    <row r="21" spans="1:198">
      <c r="A21" s="1284"/>
      <c r="B21" s="1285" t="s">
        <v>1723</v>
      </c>
      <c r="C21" s="1286"/>
      <c r="D21" s="1286"/>
      <c r="E21" s="1285"/>
      <c r="F21" s="1287"/>
    </row>
    <row r="22" spans="1:198" s="1241" customFormat="1">
      <c r="A22" s="1288" t="s">
        <v>11</v>
      </c>
      <c r="B22" s="1289" t="s">
        <v>607</v>
      </c>
      <c r="C22" s="1282" t="s">
        <v>11</v>
      </c>
      <c r="D22" s="1282"/>
      <c r="E22" s="1282"/>
      <c r="F22" s="1290"/>
      <c r="G22" s="1240"/>
    </row>
    <row r="23" spans="1:198" s="1239" customFormat="1">
      <c r="A23" s="1291" t="s">
        <v>1724</v>
      </c>
      <c r="B23" s="1292" t="s">
        <v>608</v>
      </c>
      <c r="C23" s="1293" t="s">
        <v>8</v>
      </c>
      <c r="D23" s="1294">
        <f>CEILING(213*1.15,1)</f>
        <v>245</v>
      </c>
      <c r="E23" s="1295"/>
      <c r="F23" s="1296"/>
      <c r="G23" s="1237"/>
      <c r="H23" s="1238"/>
      <c r="I23" s="1238"/>
      <c r="J23" s="1238"/>
      <c r="K23" s="1238"/>
      <c r="L23" s="1238"/>
      <c r="M23" s="1238"/>
      <c r="N23" s="1238"/>
      <c r="O23" s="1238"/>
      <c r="P23" s="1238"/>
      <c r="Q23" s="1238"/>
      <c r="R23" s="1238"/>
      <c r="S23" s="1238"/>
      <c r="T23" s="1238"/>
      <c r="U23" s="1238"/>
      <c r="V23" s="1238"/>
      <c r="W23" s="1238"/>
      <c r="X23" s="1238"/>
      <c r="Y23" s="1238"/>
      <c r="Z23" s="1238"/>
      <c r="AA23" s="1238"/>
      <c r="AB23" s="1238"/>
      <c r="AC23" s="1238"/>
      <c r="AD23" s="1238"/>
      <c r="AE23" s="1238"/>
      <c r="AF23" s="1238"/>
      <c r="AG23" s="1238"/>
      <c r="AH23" s="1238"/>
      <c r="AI23" s="1238"/>
      <c r="AJ23" s="1238"/>
      <c r="AK23" s="1238"/>
      <c r="AL23" s="1238"/>
      <c r="AM23" s="1238"/>
      <c r="AN23" s="1238"/>
      <c r="AO23" s="1238"/>
      <c r="AP23" s="1238"/>
      <c r="AQ23" s="1238"/>
      <c r="AR23" s="1238"/>
      <c r="AS23" s="1238"/>
      <c r="AT23" s="1238"/>
      <c r="AU23" s="1238"/>
      <c r="AV23" s="1238"/>
      <c r="AW23" s="1238"/>
      <c r="AX23" s="1238"/>
      <c r="AY23" s="1238"/>
      <c r="AZ23" s="1238"/>
      <c r="BA23" s="1238"/>
      <c r="BB23" s="1238"/>
      <c r="BC23" s="1238"/>
      <c r="BD23" s="1238"/>
      <c r="BE23" s="1238"/>
      <c r="BF23" s="1238"/>
      <c r="BG23" s="1238"/>
      <c r="BH23" s="1238"/>
      <c r="BI23" s="1238"/>
      <c r="BJ23" s="1238"/>
      <c r="BK23" s="1238"/>
      <c r="BL23" s="1238"/>
      <c r="BM23" s="1238"/>
      <c r="BN23" s="1238"/>
      <c r="BO23" s="1238"/>
      <c r="BP23" s="1238"/>
      <c r="BQ23" s="1238"/>
      <c r="BR23" s="1238"/>
      <c r="BS23" s="1238"/>
      <c r="BT23" s="1238"/>
      <c r="BU23" s="1238"/>
      <c r="BV23" s="1238"/>
      <c r="BW23" s="1238"/>
      <c r="BX23" s="1238"/>
      <c r="BY23" s="1238"/>
      <c r="BZ23" s="1238"/>
      <c r="CA23" s="1238"/>
      <c r="CB23" s="1238"/>
      <c r="CC23" s="1238"/>
      <c r="CD23" s="1238"/>
      <c r="CE23" s="1238"/>
      <c r="CF23" s="1238"/>
      <c r="CG23" s="1238"/>
      <c r="CH23" s="1238"/>
      <c r="CI23" s="1238"/>
      <c r="CJ23" s="1238"/>
      <c r="CK23" s="1238"/>
      <c r="CL23" s="1238"/>
      <c r="CM23" s="1238"/>
      <c r="CN23" s="1238"/>
      <c r="CO23" s="1238"/>
      <c r="CP23" s="1238"/>
      <c r="CQ23" s="1238"/>
      <c r="CR23" s="1238"/>
      <c r="CS23" s="1238"/>
      <c r="CT23" s="1238"/>
      <c r="CU23" s="1238"/>
      <c r="CV23" s="1238"/>
      <c r="CW23" s="1238"/>
      <c r="CX23" s="1238"/>
      <c r="CY23" s="1238"/>
      <c r="CZ23" s="1238"/>
      <c r="DA23" s="1238"/>
      <c r="DB23" s="1238"/>
      <c r="DC23" s="1238"/>
      <c r="DD23" s="1238"/>
      <c r="DE23" s="1238"/>
      <c r="DF23" s="1238"/>
      <c r="DG23" s="1238"/>
      <c r="DH23" s="1238"/>
      <c r="DI23" s="1238"/>
      <c r="DJ23" s="1238"/>
      <c r="DK23" s="1238"/>
      <c r="DL23" s="1238"/>
      <c r="DM23" s="1238"/>
      <c r="DN23" s="1238"/>
      <c r="DO23" s="1238"/>
      <c r="DP23" s="1238"/>
      <c r="DQ23" s="1238"/>
      <c r="DR23" s="1238"/>
      <c r="DS23" s="1238"/>
      <c r="DT23" s="1238"/>
      <c r="DU23" s="1238"/>
      <c r="DV23" s="1238"/>
      <c r="DW23" s="1238"/>
      <c r="DX23" s="1238"/>
      <c r="DY23" s="1238"/>
      <c r="DZ23" s="1238"/>
      <c r="EA23" s="1238"/>
      <c r="EB23" s="1238"/>
      <c r="EC23" s="1238"/>
      <c r="ED23" s="1238"/>
      <c r="EE23" s="1238"/>
      <c r="EF23" s="1238"/>
      <c r="EG23" s="1238"/>
      <c r="EH23" s="1238"/>
      <c r="EI23" s="1238"/>
      <c r="EJ23" s="1238"/>
      <c r="EK23" s="1238"/>
      <c r="EL23" s="1238"/>
      <c r="EM23" s="1238"/>
      <c r="EN23" s="1238"/>
      <c r="EO23" s="1238"/>
      <c r="EP23" s="1238"/>
      <c r="EQ23" s="1238"/>
      <c r="ER23" s="1238"/>
      <c r="ES23" s="1238"/>
      <c r="ET23" s="1238"/>
      <c r="EU23" s="1238"/>
      <c r="EV23" s="1238"/>
      <c r="EW23" s="1238"/>
      <c r="EX23" s="1238"/>
      <c r="EY23" s="1238"/>
      <c r="EZ23" s="1238"/>
      <c r="FA23" s="1238"/>
      <c r="FB23" s="1238"/>
      <c r="FC23" s="1238"/>
      <c r="FD23" s="1238"/>
      <c r="FE23" s="1238"/>
      <c r="FF23" s="1238"/>
      <c r="FG23" s="1238"/>
      <c r="FH23" s="1238"/>
      <c r="FI23" s="1238"/>
      <c r="FJ23" s="1238"/>
      <c r="FK23" s="1238"/>
      <c r="FL23" s="1238"/>
      <c r="FM23" s="1238"/>
      <c r="FN23" s="1238"/>
      <c r="FO23" s="1238"/>
      <c r="FP23" s="1238"/>
      <c r="FQ23" s="1238"/>
      <c r="FR23" s="1238"/>
      <c r="FS23" s="1238"/>
      <c r="FT23" s="1238"/>
      <c r="FU23" s="1238"/>
      <c r="FV23" s="1238"/>
      <c r="FW23" s="1238"/>
      <c r="FX23" s="1238"/>
      <c r="FY23" s="1238"/>
      <c r="FZ23" s="1238"/>
      <c r="GA23" s="1238"/>
      <c r="GB23" s="1238"/>
      <c r="GC23" s="1238"/>
      <c r="GD23" s="1238"/>
      <c r="GE23" s="1238"/>
      <c r="GF23" s="1238"/>
      <c r="GG23" s="1238"/>
      <c r="GH23" s="1238"/>
      <c r="GI23" s="1238"/>
      <c r="GJ23" s="1238"/>
      <c r="GK23" s="1238"/>
      <c r="GL23" s="1238"/>
      <c r="GM23" s="1238"/>
      <c r="GN23" s="1238"/>
      <c r="GO23" s="1238"/>
      <c r="GP23" s="1238"/>
    </row>
    <row r="24" spans="1:198" s="1241" customFormat="1">
      <c r="A24" s="1291" t="s">
        <v>1725</v>
      </c>
      <c r="B24" s="1282" t="s">
        <v>692</v>
      </c>
      <c r="C24" s="1282" t="s">
        <v>9</v>
      </c>
      <c r="D24" s="1282">
        <f>CEILING(15.8*18,1)</f>
        <v>285</v>
      </c>
      <c r="E24" s="1282"/>
      <c r="F24" s="1296"/>
      <c r="G24" s="1240"/>
    </row>
    <row r="25" spans="1:198" s="1241" customFormat="1">
      <c r="A25" s="1291" t="s">
        <v>1726</v>
      </c>
      <c r="B25" s="1282" t="s">
        <v>691</v>
      </c>
      <c r="C25" s="1282" t="s">
        <v>9</v>
      </c>
      <c r="D25" s="1282">
        <f>CEILING(12*18,1)</f>
        <v>216</v>
      </c>
      <c r="E25" s="1282"/>
      <c r="F25" s="1296"/>
      <c r="G25" s="1240"/>
    </row>
    <row r="26" spans="1:198" s="1241" customFormat="1">
      <c r="A26" s="1291" t="s">
        <v>1727</v>
      </c>
      <c r="B26" s="1282" t="s">
        <v>327</v>
      </c>
      <c r="C26" s="1282" t="s">
        <v>9</v>
      </c>
      <c r="D26" s="1282">
        <f>CEILING(26.25*8,1)</f>
        <v>210</v>
      </c>
      <c r="E26" s="1282"/>
      <c r="F26" s="1296"/>
      <c r="G26" s="1240"/>
    </row>
    <row r="27" spans="1:198" s="1241" customFormat="1">
      <c r="A27" s="1291" t="s">
        <v>1728</v>
      </c>
      <c r="B27" s="1282" t="s">
        <v>347</v>
      </c>
      <c r="C27" s="1282" t="s">
        <v>9</v>
      </c>
      <c r="D27" s="1282">
        <f>CEILING(56.6,1)</f>
        <v>57</v>
      </c>
      <c r="E27" s="1282"/>
      <c r="F27" s="1296"/>
      <c r="G27" s="1240"/>
    </row>
    <row r="28" spans="1:198" s="1241" customFormat="1">
      <c r="A28" s="1291" t="s">
        <v>1729</v>
      </c>
      <c r="B28" s="1282" t="s">
        <v>609</v>
      </c>
      <c r="C28" s="1282" t="s">
        <v>9</v>
      </c>
      <c r="D28" s="1282">
        <f>CEILING(18*3*0.5,1)</f>
        <v>27</v>
      </c>
      <c r="E28" s="1282"/>
      <c r="F28" s="1296"/>
      <c r="G28" s="1240"/>
    </row>
    <row r="29" spans="1:198" s="1241" customFormat="1">
      <c r="A29" s="1291" t="s">
        <v>1730</v>
      </c>
      <c r="B29" s="1282" t="s">
        <v>502</v>
      </c>
      <c r="C29" s="1282" t="s">
        <v>9</v>
      </c>
      <c r="D29" s="1282">
        <v>72</v>
      </c>
      <c r="E29" s="1282"/>
      <c r="F29" s="1296"/>
      <c r="G29" s="1240"/>
    </row>
    <row r="30" spans="1:198" s="1241" customFormat="1">
      <c r="A30" s="1289"/>
      <c r="B30" s="1297" t="s">
        <v>503</v>
      </c>
      <c r="C30" s="1282" t="s">
        <v>11</v>
      </c>
      <c r="D30" s="1282" t="s">
        <v>11</v>
      </c>
      <c r="E30" s="1282"/>
      <c r="F30" s="1283"/>
      <c r="G30" s="1240"/>
    </row>
    <row r="31" spans="1:198" s="1241" customFormat="1">
      <c r="A31" s="1281" t="s">
        <v>1731</v>
      </c>
      <c r="B31" s="1282" t="s">
        <v>612</v>
      </c>
      <c r="C31" s="1282" t="s">
        <v>9</v>
      </c>
      <c r="D31" s="1282">
        <v>37</v>
      </c>
      <c r="E31" s="1282"/>
      <c r="F31" s="1283"/>
      <c r="G31" s="1240"/>
    </row>
    <row r="32" spans="1:198" s="1241" customFormat="1">
      <c r="A32" s="1281"/>
      <c r="B32" s="1282"/>
      <c r="C32" s="1282"/>
      <c r="D32" s="1282"/>
      <c r="E32" s="1282"/>
      <c r="F32" s="1283"/>
      <c r="G32" s="1240"/>
    </row>
    <row r="33" spans="1:7" s="1241" customFormat="1">
      <c r="A33" s="1289"/>
      <c r="B33" s="1297" t="s">
        <v>490</v>
      </c>
      <c r="C33" s="1282" t="s">
        <v>11</v>
      </c>
      <c r="D33" s="1282" t="s">
        <v>11</v>
      </c>
      <c r="E33" s="1282"/>
      <c r="F33" s="1283"/>
      <c r="G33" s="1240"/>
    </row>
    <row r="34" spans="1:7" s="1241" customFormat="1">
      <c r="A34" s="1288" t="s">
        <v>1732</v>
      </c>
      <c r="B34" s="1282" t="s">
        <v>348</v>
      </c>
      <c r="C34" s="1282" t="s">
        <v>9</v>
      </c>
      <c r="D34" s="1282">
        <f>4*3</f>
        <v>12</v>
      </c>
      <c r="E34" s="1282"/>
      <c r="F34" s="1283"/>
      <c r="G34" s="1240"/>
    </row>
    <row r="35" spans="1:7" s="1241" customFormat="1">
      <c r="A35" s="1288" t="s">
        <v>1733</v>
      </c>
      <c r="B35" s="1282" t="s">
        <v>504</v>
      </c>
      <c r="C35" s="1282" t="s">
        <v>305</v>
      </c>
      <c r="D35" s="1282">
        <v>4</v>
      </c>
      <c r="E35" s="1282"/>
      <c r="F35" s="1283"/>
      <c r="G35" s="1240"/>
    </row>
    <row r="36" spans="1:7" s="1241" customFormat="1">
      <c r="A36" s="1288" t="s">
        <v>1734</v>
      </c>
      <c r="B36" s="1282" t="s">
        <v>505</v>
      </c>
      <c r="C36" s="1282" t="s">
        <v>305</v>
      </c>
      <c r="D36" s="1282">
        <f>D35</f>
        <v>4</v>
      </c>
      <c r="E36" s="1282"/>
      <c r="F36" s="1283"/>
      <c r="G36" s="1240"/>
    </row>
    <row r="37" spans="1:7" s="1241" customFormat="1">
      <c r="A37" s="1288" t="s">
        <v>1735</v>
      </c>
      <c r="B37" s="1282" t="s">
        <v>506</v>
      </c>
      <c r="C37" s="1282" t="s">
        <v>11</v>
      </c>
      <c r="D37" s="1282" t="s">
        <v>11</v>
      </c>
      <c r="E37" s="1282"/>
      <c r="F37" s="1283"/>
      <c r="G37" s="1240"/>
    </row>
    <row r="38" spans="1:7" s="1241" customFormat="1">
      <c r="A38" s="1288" t="s">
        <v>1736</v>
      </c>
      <c r="B38" s="1282" t="s">
        <v>613</v>
      </c>
      <c r="C38" s="1282" t="s">
        <v>9</v>
      </c>
      <c r="D38" s="1282">
        <f>D31</f>
        <v>37</v>
      </c>
      <c r="E38" s="1282"/>
      <c r="F38" s="1283"/>
      <c r="G38" s="1240"/>
    </row>
    <row r="39" spans="1:7" s="1241" customFormat="1">
      <c r="A39" s="1270"/>
      <c r="B39" s="1271"/>
      <c r="C39" s="1268"/>
      <c r="D39" s="1268"/>
      <c r="E39" s="1268"/>
      <c r="F39" s="1269"/>
      <c r="G39" s="1240"/>
    </row>
    <row r="40" spans="1:7" s="1241" customFormat="1">
      <c r="A40" s="1298"/>
      <c r="B40" s="1299" t="s">
        <v>413</v>
      </c>
      <c r="C40" s="1300"/>
      <c r="D40" s="1300"/>
      <c r="E40" s="1300"/>
      <c r="F40" s="1301"/>
      <c r="G40" s="1240"/>
    </row>
    <row r="41" spans="1:7" s="1241" customFormat="1">
      <c r="A41" s="1302" t="s">
        <v>260</v>
      </c>
      <c r="B41" s="1303" t="s">
        <v>13</v>
      </c>
      <c r="C41" s="1303" t="s">
        <v>330</v>
      </c>
      <c r="D41" s="1254" t="s">
        <v>331</v>
      </c>
      <c r="E41" s="1255" t="s">
        <v>332</v>
      </c>
      <c r="F41" s="1304"/>
      <c r="G41" s="1240"/>
    </row>
    <row r="42" spans="1:7" s="1241" customFormat="1">
      <c r="A42" s="1271"/>
      <c r="B42" s="1271" t="s">
        <v>901</v>
      </c>
      <c r="C42" s="1268"/>
      <c r="D42" s="1268"/>
      <c r="E42" s="1268"/>
      <c r="F42" s="1269"/>
      <c r="G42" s="1240"/>
    </row>
    <row r="43" spans="1:7" s="1246" customFormat="1">
      <c r="A43" s="1271"/>
      <c r="B43" s="1271" t="s">
        <v>1750</v>
      </c>
      <c r="C43" s="1305"/>
      <c r="D43" s="1305"/>
      <c r="E43" s="1305"/>
      <c r="F43" s="1301"/>
      <c r="G43" s="1245"/>
    </row>
    <row r="44" spans="1:7" s="1241" customFormat="1">
      <c r="A44" s="1289"/>
      <c r="B44" s="1306" t="s">
        <v>671</v>
      </c>
      <c r="C44" s="1307"/>
      <c r="D44" s="1307"/>
      <c r="E44" s="1308"/>
      <c r="F44" s="1283"/>
      <c r="G44" s="1240"/>
    </row>
    <row r="45" spans="1:7" s="1241" customFormat="1">
      <c r="A45" s="1288" t="s">
        <v>1737</v>
      </c>
      <c r="B45" s="1282" t="s">
        <v>709</v>
      </c>
      <c r="C45" s="1282" t="s">
        <v>305</v>
      </c>
      <c r="D45" s="1282">
        <v>6</v>
      </c>
      <c r="E45" s="1282"/>
      <c r="F45" s="1283"/>
      <c r="G45" s="1240"/>
    </row>
    <row r="46" spans="1:7" s="1241" customFormat="1">
      <c r="A46" s="1288" t="s">
        <v>1738</v>
      </c>
      <c r="B46" s="1282" t="s">
        <v>614</v>
      </c>
      <c r="C46" s="1282" t="s">
        <v>9</v>
      </c>
      <c r="D46" s="1282">
        <f>CEILING(5.1*D45,1)</f>
        <v>31</v>
      </c>
      <c r="E46" s="1282"/>
      <c r="F46" s="1283"/>
      <c r="G46" s="1240"/>
    </row>
    <row r="47" spans="1:7" s="1241" customFormat="1">
      <c r="A47" s="1288" t="s">
        <v>1739</v>
      </c>
      <c r="B47" s="1282" t="s">
        <v>615</v>
      </c>
      <c r="C47" s="1282" t="s">
        <v>9</v>
      </c>
      <c r="D47" s="1282">
        <f>D46*2</f>
        <v>62</v>
      </c>
      <c r="E47" s="1282"/>
      <c r="F47" s="1283"/>
      <c r="G47" s="1240"/>
    </row>
    <row r="48" spans="1:7" s="1241" customFormat="1">
      <c r="A48" s="1288" t="s">
        <v>1739</v>
      </c>
      <c r="B48" s="1282" t="s">
        <v>616</v>
      </c>
      <c r="C48" s="1282" t="s">
        <v>9</v>
      </c>
      <c r="D48" s="1282">
        <f>D47</f>
        <v>62</v>
      </c>
      <c r="E48" s="1282"/>
      <c r="F48" s="1283"/>
      <c r="G48" s="1240"/>
    </row>
    <row r="49" spans="1:198" s="1241" customFormat="1">
      <c r="A49" s="1288"/>
      <c r="B49" s="1282"/>
      <c r="C49" s="1282"/>
      <c r="D49" s="1282"/>
      <c r="E49" s="1282"/>
      <c r="F49" s="1283"/>
      <c r="G49" s="1240"/>
    </row>
    <row r="50" spans="1:198" s="1241" customFormat="1">
      <c r="A50" s="1288" t="s">
        <v>11</v>
      </c>
      <c r="B50" s="1297" t="s">
        <v>617</v>
      </c>
      <c r="C50" s="1282" t="s">
        <v>11</v>
      </c>
      <c r="D50" s="1282" t="s">
        <v>11</v>
      </c>
      <c r="E50" s="1282"/>
      <c r="F50" s="1283"/>
      <c r="G50" s="1240"/>
    </row>
    <row r="51" spans="1:198" s="1241" customFormat="1">
      <c r="A51" s="1288"/>
      <c r="B51" s="1282" t="s">
        <v>618</v>
      </c>
      <c r="C51" s="1282" t="s">
        <v>11</v>
      </c>
      <c r="D51" s="1282" t="s">
        <v>11</v>
      </c>
      <c r="E51" s="1282"/>
      <c r="F51" s="1283"/>
      <c r="G51" s="1240"/>
    </row>
    <row r="52" spans="1:198" s="1241" customFormat="1">
      <c r="A52" s="1288" t="s">
        <v>1740</v>
      </c>
      <c r="B52" s="1282" t="s">
        <v>619</v>
      </c>
      <c r="C52" s="1282" t="s">
        <v>305</v>
      </c>
      <c r="D52" s="1282">
        <f>SUM(D45:D45)</f>
        <v>6</v>
      </c>
      <c r="E52" s="1282"/>
      <c r="F52" s="1283"/>
      <c r="G52" s="1240"/>
    </row>
    <row r="53" spans="1:198" s="1241" customFormat="1">
      <c r="A53" s="1288" t="s">
        <v>1741</v>
      </c>
      <c r="B53" s="1309" t="s">
        <v>620</v>
      </c>
      <c r="C53" s="1309" t="s">
        <v>621</v>
      </c>
      <c r="D53" s="1309">
        <f>D45*3/2</f>
        <v>9</v>
      </c>
      <c r="E53" s="1309"/>
      <c r="F53" s="1310"/>
      <c r="G53" s="1240"/>
    </row>
    <row r="54" spans="1:198" s="1241" customFormat="1">
      <c r="A54" s="1288" t="s">
        <v>1742</v>
      </c>
      <c r="B54" s="1282" t="s">
        <v>622</v>
      </c>
      <c r="C54" s="1282" t="s">
        <v>305</v>
      </c>
      <c r="D54" s="1282">
        <f>D52</f>
        <v>6</v>
      </c>
      <c r="E54" s="1282"/>
      <c r="F54" s="1283"/>
      <c r="G54" s="1240"/>
    </row>
    <row r="55" spans="1:198" s="1241" customFormat="1">
      <c r="A55" s="1288"/>
      <c r="B55" s="1282"/>
      <c r="C55" s="1282"/>
      <c r="D55" s="1282"/>
      <c r="E55" s="1282"/>
      <c r="F55" s="1283"/>
      <c r="G55" s="1240"/>
    </row>
    <row r="56" spans="1:198" s="1241" customFormat="1">
      <c r="A56" s="1288" t="s">
        <v>11</v>
      </c>
      <c r="B56" s="1297" t="s">
        <v>623</v>
      </c>
      <c r="C56" s="1282" t="s">
        <v>11</v>
      </c>
      <c r="D56" s="1282" t="s">
        <v>11</v>
      </c>
      <c r="E56" s="1282"/>
      <c r="F56" s="1283"/>
      <c r="G56" s="1240"/>
    </row>
    <row r="57" spans="1:198" s="1241" customFormat="1">
      <c r="A57" s="1288" t="s">
        <v>1741</v>
      </c>
      <c r="B57" s="1282" t="s">
        <v>624</v>
      </c>
      <c r="C57" s="1282" t="s">
        <v>329</v>
      </c>
      <c r="D57" s="1282" t="s">
        <v>468</v>
      </c>
      <c r="E57" s="1282"/>
      <c r="F57" s="1283"/>
      <c r="G57" s="1240"/>
    </row>
    <row r="58" spans="1:198" s="1241" customFormat="1">
      <c r="A58" s="1262"/>
      <c r="B58" s="1267"/>
      <c r="C58" s="1268"/>
      <c r="D58" s="1268"/>
      <c r="E58" s="1268"/>
      <c r="F58" s="1269"/>
      <c r="G58" s="1240"/>
    </row>
    <row r="59" spans="1:198" s="1241" customFormat="1">
      <c r="A59" s="1270"/>
      <c r="B59" s="1271" t="s">
        <v>670</v>
      </c>
      <c r="C59" s="1268"/>
      <c r="D59" s="1268"/>
      <c r="E59" s="1268"/>
      <c r="F59" s="1269"/>
      <c r="G59" s="1240"/>
    </row>
    <row r="60" spans="1:198" s="1239" customFormat="1">
      <c r="A60" s="1262" t="s">
        <v>1742</v>
      </c>
      <c r="B60" s="1267" t="s">
        <v>906</v>
      </c>
      <c r="C60" s="1268" t="s">
        <v>10</v>
      </c>
      <c r="D60" s="1268">
        <v>6</v>
      </c>
      <c r="E60" s="1268"/>
      <c r="F60" s="1269"/>
      <c r="G60" s="1237"/>
      <c r="H60" s="1238"/>
      <c r="I60" s="1238"/>
      <c r="J60" s="1238"/>
      <c r="K60" s="1238"/>
      <c r="L60" s="1238"/>
      <c r="M60" s="1238"/>
      <c r="N60" s="1238"/>
      <c r="O60" s="1238"/>
      <c r="P60" s="1238"/>
      <c r="Q60" s="1238"/>
      <c r="R60" s="1238"/>
      <c r="S60" s="1238"/>
      <c r="T60" s="1238"/>
      <c r="U60" s="1238"/>
      <c r="V60" s="1238"/>
      <c r="W60" s="1238"/>
      <c r="X60" s="1238"/>
      <c r="Y60" s="1238"/>
      <c r="Z60" s="1238"/>
      <c r="AA60" s="1238"/>
      <c r="AB60" s="1238"/>
      <c r="AC60" s="1238"/>
      <c r="AD60" s="1238"/>
      <c r="AE60" s="1238"/>
      <c r="AF60" s="1238"/>
      <c r="AG60" s="1238"/>
      <c r="AH60" s="1238"/>
      <c r="AI60" s="1238"/>
      <c r="AJ60" s="1238"/>
      <c r="AK60" s="1238"/>
      <c r="AL60" s="1238"/>
      <c r="AM60" s="1238"/>
      <c r="AN60" s="1238"/>
      <c r="AO60" s="1238"/>
      <c r="AP60" s="1238"/>
      <c r="AQ60" s="1238"/>
      <c r="AR60" s="1238"/>
      <c r="AS60" s="1238"/>
      <c r="AT60" s="1238"/>
      <c r="AU60" s="1238"/>
      <c r="AV60" s="1238"/>
      <c r="AW60" s="1238"/>
      <c r="AX60" s="1238"/>
      <c r="AY60" s="1238"/>
      <c r="AZ60" s="1238"/>
      <c r="BA60" s="1238"/>
      <c r="BB60" s="1238"/>
      <c r="BC60" s="1238"/>
      <c r="BD60" s="1238"/>
      <c r="BE60" s="1238"/>
      <c r="BF60" s="1238"/>
      <c r="BG60" s="1238"/>
      <c r="BH60" s="1238"/>
      <c r="BI60" s="1238"/>
      <c r="BJ60" s="1238"/>
      <c r="BK60" s="1238"/>
      <c r="BL60" s="1238"/>
      <c r="BM60" s="1238"/>
      <c r="BN60" s="1238"/>
      <c r="BO60" s="1238"/>
      <c r="BP60" s="1238"/>
      <c r="BQ60" s="1238"/>
      <c r="BR60" s="1238"/>
      <c r="BS60" s="1238"/>
      <c r="BT60" s="1238"/>
      <c r="BU60" s="1238"/>
      <c r="BV60" s="1238"/>
      <c r="BW60" s="1238"/>
      <c r="BX60" s="1238"/>
      <c r="BY60" s="1238"/>
      <c r="BZ60" s="1238"/>
      <c r="CA60" s="1238"/>
      <c r="CB60" s="1238"/>
      <c r="CC60" s="1238"/>
      <c r="CD60" s="1238"/>
      <c r="CE60" s="1238"/>
      <c r="CF60" s="1238"/>
      <c r="CG60" s="1238"/>
      <c r="CH60" s="1238"/>
      <c r="CI60" s="1238"/>
      <c r="CJ60" s="1238"/>
      <c r="CK60" s="1238"/>
      <c r="CL60" s="1238"/>
      <c r="CM60" s="1238"/>
      <c r="CN60" s="1238"/>
      <c r="CO60" s="1238"/>
      <c r="CP60" s="1238"/>
      <c r="CQ60" s="1238"/>
      <c r="CR60" s="1238"/>
      <c r="CS60" s="1238"/>
      <c r="CT60" s="1238"/>
      <c r="CU60" s="1238"/>
      <c r="CV60" s="1238"/>
      <c r="CW60" s="1238"/>
      <c r="CX60" s="1238"/>
      <c r="CY60" s="1238"/>
      <c r="CZ60" s="1238"/>
      <c r="DA60" s="1238"/>
      <c r="DB60" s="1238"/>
      <c r="DC60" s="1238"/>
      <c r="DD60" s="1238"/>
      <c r="DE60" s="1238"/>
      <c r="DF60" s="1238"/>
      <c r="DG60" s="1238"/>
      <c r="DH60" s="1238"/>
      <c r="DI60" s="1238"/>
      <c r="DJ60" s="1238"/>
      <c r="DK60" s="1238"/>
      <c r="DL60" s="1238"/>
      <c r="DM60" s="1238"/>
      <c r="DN60" s="1238"/>
      <c r="DO60" s="1238"/>
      <c r="DP60" s="1238"/>
      <c r="DQ60" s="1238"/>
      <c r="DR60" s="1238"/>
      <c r="DS60" s="1238"/>
      <c r="DT60" s="1238"/>
      <c r="DU60" s="1238"/>
      <c r="DV60" s="1238"/>
      <c r="DW60" s="1238"/>
      <c r="DX60" s="1238"/>
      <c r="DY60" s="1238"/>
      <c r="DZ60" s="1238"/>
      <c r="EA60" s="1238"/>
      <c r="EB60" s="1238"/>
      <c r="EC60" s="1238"/>
      <c r="ED60" s="1238"/>
      <c r="EE60" s="1238"/>
      <c r="EF60" s="1238"/>
      <c r="EG60" s="1238"/>
      <c r="EH60" s="1238"/>
      <c r="EI60" s="1238"/>
      <c r="EJ60" s="1238"/>
      <c r="EK60" s="1238"/>
      <c r="EL60" s="1238"/>
      <c r="EM60" s="1238"/>
      <c r="EN60" s="1238"/>
      <c r="EO60" s="1238"/>
      <c r="EP60" s="1238"/>
      <c r="EQ60" s="1238"/>
      <c r="ER60" s="1238"/>
      <c r="ES60" s="1238"/>
      <c r="ET60" s="1238"/>
      <c r="EU60" s="1238"/>
      <c r="EV60" s="1238"/>
      <c r="EW60" s="1238"/>
      <c r="EX60" s="1238"/>
      <c r="EY60" s="1238"/>
      <c r="EZ60" s="1238"/>
      <c r="FA60" s="1238"/>
      <c r="FB60" s="1238"/>
      <c r="FC60" s="1238"/>
      <c r="FD60" s="1238"/>
      <c r="FE60" s="1238"/>
      <c r="FF60" s="1238"/>
      <c r="FG60" s="1238"/>
      <c r="FH60" s="1238"/>
      <c r="FI60" s="1238"/>
      <c r="FJ60" s="1238"/>
      <c r="FK60" s="1238"/>
      <c r="FL60" s="1238"/>
      <c r="FM60" s="1238"/>
      <c r="FN60" s="1238"/>
      <c r="FO60" s="1238"/>
      <c r="FP60" s="1238"/>
      <c r="FQ60" s="1238"/>
      <c r="FR60" s="1238"/>
      <c r="FS60" s="1238"/>
      <c r="FT60" s="1238"/>
      <c r="FU60" s="1238"/>
      <c r="FV60" s="1238"/>
      <c r="FW60" s="1238"/>
      <c r="FX60" s="1238"/>
      <c r="FY60" s="1238"/>
      <c r="FZ60" s="1238"/>
      <c r="GA60" s="1238"/>
      <c r="GB60" s="1238"/>
      <c r="GC60" s="1238"/>
      <c r="GD60" s="1238"/>
      <c r="GE60" s="1238"/>
      <c r="GF60" s="1238"/>
      <c r="GG60" s="1238"/>
      <c r="GH60" s="1238"/>
      <c r="GI60" s="1238"/>
      <c r="GJ60" s="1238"/>
      <c r="GK60" s="1238"/>
      <c r="GL60" s="1238"/>
      <c r="GM60" s="1238"/>
      <c r="GN60" s="1238"/>
      <c r="GO60" s="1238"/>
      <c r="GP60" s="1238"/>
    </row>
    <row r="61" spans="1:198" s="1239" customFormat="1">
      <c r="A61" s="1262"/>
      <c r="B61" s="1267"/>
      <c r="C61" s="1268"/>
      <c r="D61" s="1268"/>
      <c r="E61" s="1268"/>
      <c r="F61" s="1269"/>
      <c r="G61" s="1237"/>
      <c r="H61" s="1238"/>
      <c r="I61" s="1238"/>
      <c r="J61" s="1238"/>
      <c r="K61" s="1238"/>
      <c r="L61" s="1238"/>
      <c r="M61" s="1238"/>
      <c r="N61" s="1238"/>
      <c r="O61" s="1238"/>
      <c r="P61" s="1238"/>
      <c r="Q61" s="1238"/>
      <c r="R61" s="1238"/>
      <c r="S61" s="1238"/>
      <c r="T61" s="1238"/>
      <c r="U61" s="1238"/>
      <c r="V61" s="1238"/>
      <c r="W61" s="1238"/>
      <c r="X61" s="1238"/>
      <c r="Y61" s="1238"/>
      <c r="Z61" s="1238"/>
      <c r="AA61" s="1238"/>
      <c r="AB61" s="1238"/>
      <c r="AC61" s="1238"/>
      <c r="AD61" s="1238"/>
      <c r="AE61" s="1238"/>
      <c r="AF61" s="1238"/>
      <c r="AG61" s="1238"/>
      <c r="AH61" s="1238"/>
      <c r="AI61" s="1238"/>
      <c r="AJ61" s="1238"/>
      <c r="AK61" s="1238"/>
      <c r="AL61" s="1238"/>
      <c r="AM61" s="1238"/>
      <c r="AN61" s="1238"/>
      <c r="AO61" s="1238"/>
      <c r="AP61" s="1238"/>
      <c r="AQ61" s="1238"/>
      <c r="AR61" s="1238"/>
      <c r="AS61" s="1238"/>
      <c r="AT61" s="1238"/>
      <c r="AU61" s="1238"/>
      <c r="AV61" s="1238"/>
      <c r="AW61" s="1238"/>
      <c r="AX61" s="1238"/>
      <c r="AY61" s="1238"/>
      <c r="AZ61" s="1238"/>
      <c r="BA61" s="1238"/>
      <c r="BB61" s="1238"/>
      <c r="BC61" s="1238"/>
      <c r="BD61" s="1238"/>
      <c r="BE61" s="1238"/>
      <c r="BF61" s="1238"/>
      <c r="BG61" s="1238"/>
      <c r="BH61" s="1238"/>
      <c r="BI61" s="1238"/>
      <c r="BJ61" s="1238"/>
      <c r="BK61" s="1238"/>
      <c r="BL61" s="1238"/>
      <c r="BM61" s="1238"/>
      <c r="BN61" s="1238"/>
      <c r="BO61" s="1238"/>
      <c r="BP61" s="1238"/>
      <c r="BQ61" s="1238"/>
      <c r="BR61" s="1238"/>
      <c r="BS61" s="1238"/>
      <c r="BT61" s="1238"/>
      <c r="BU61" s="1238"/>
      <c r="BV61" s="1238"/>
      <c r="BW61" s="1238"/>
      <c r="BX61" s="1238"/>
      <c r="BY61" s="1238"/>
      <c r="BZ61" s="1238"/>
      <c r="CA61" s="1238"/>
      <c r="CB61" s="1238"/>
      <c r="CC61" s="1238"/>
      <c r="CD61" s="1238"/>
      <c r="CE61" s="1238"/>
      <c r="CF61" s="1238"/>
      <c r="CG61" s="1238"/>
      <c r="CH61" s="1238"/>
      <c r="CI61" s="1238"/>
      <c r="CJ61" s="1238"/>
      <c r="CK61" s="1238"/>
      <c r="CL61" s="1238"/>
      <c r="CM61" s="1238"/>
      <c r="CN61" s="1238"/>
      <c r="CO61" s="1238"/>
      <c r="CP61" s="1238"/>
      <c r="CQ61" s="1238"/>
      <c r="CR61" s="1238"/>
      <c r="CS61" s="1238"/>
      <c r="CT61" s="1238"/>
      <c r="CU61" s="1238"/>
      <c r="CV61" s="1238"/>
      <c r="CW61" s="1238"/>
      <c r="CX61" s="1238"/>
      <c r="CY61" s="1238"/>
      <c r="CZ61" s="1238"/>
      <c r="DA61" s="1238"/>
      <c r="DB61" s="1238"/>
      <c r="DC61" s="1238"/>
      <c r="DD61" s="1238"/>
      <c r="DE61" s="1238"/>
      <c r="DF61" s="1238"/>
      <c r="DG61" s="1238"/>
      <c r="DH61" s="1238"/>
      <c r="DI61" s="1238"/>
      <c r="DJ61" s="1238"/>
      <c r="DK61" s="1238"/>
      <c r="DL61" s="1238"/>
      <c r="DM61" s="1238"/>
      <c r="DN61" s="1238"/>
      <c r="DO61" s="1238"/>
      <c r="DP61" s="1238"/>
      <c r="DQ61" s="1238"/>
      <c r="DR61" s="1238"/>
      <c r="DS61" s="1238"/>
      <c r="DT61" s="1238"/>
      <c r="DU61" s="1238"/>
      <c r="DV61" s="1238"/>
      <c r="DW61" s="1238"/>
      <c r="DX61" s="1238"/>
      <c r="DY61" s="1238"/>
      <c r="DZ61" s="1238"/>
      <c r="EA61" s="1238"/>
      <c r="EB61" s="1238"/>
      <c r="EC61" s="1238"/>
      <c r="ED61" s="1238"/>
      <c r="EE61" s="1238"/>
      <c r="EF61" s="1238"/>
      <c r="EG61" s="1238"/>
      <c r="EH61" s="1238"/>
      <c r="EI61" s="1238"/>
      <c r="EJ61" s="1238"/>
      <c r="EK61" s="1238"/>
      <c r="EL61" s="1238"/>
      <c r="EM61" s="1238"/>
      <c r="EN61" s="1238"/>
      <c r="EO61" s="1238"/>
      <c r="EP61" s="1238"/>
      <c r="EQ61" s="1238"/>
      <c r="ER61" s="1238"/>
      <c r="ES61" s="1238"/>
      <c r="ET61" s="1238"/>
      <c r="EU61" s="1238"/>
      <c r="EV61" s="1238"/>
      <c r="EW61" s="1238"/>
      <c r="EX61" s="1238"/>
      <c r="EY61" s="1238"/>
      <c r="EZ61" s="1238"/>
      <c r="FA61" s="1238"/>
      <c r="FB61" s="1238"/>
      <c r="FC61" s="1238"/>
      <c r="FD61" s="1238"/>
      <c r="FE61" s="1238"/>
      <c r="FF61" s="1238"/>
      <c r="FG61" s="1238"/>
      <c r="FH61" s="1238"/>
      <c r="FI61" s="1238"/>
      <c r="FJ61" s="1238"/>
      <c r="FK61" s="1238"/>
      <c r="FL61" s="1238"/>
      <c r="FM61" s="1238"/>
      <c r="FN61" s="1238"/>
      <c r="FO61" s="1238"/>
      <c r="FP61" s="1238"/>
      <c r="FQ61" s="1238"/>
      <c r="FR61" s="1238"/>
      <c r="FS61" s="1238"/>
      <c r="FT61" s="1238"/>
      <c r="FU61" s="1238"/>
      <c r="FV61" s="1238"/>
      <c r="FW61" s="1238"/>
      <c r="FX61" s="1238"/>
      <c r="FY61" s="1238"/>
      <c r="FZ61" s="1238"/>
      <c r="GA61" s="1238"/>
      <c r="GB61" s="1238"/>
      <c r="GC61" s="1238"/>
      <c r="GD61" s="1238"/>
      <c r="GE61" s="1238"/>
      <c r="GF61" s="1238"/>
      <c r="GG61" s="1238"/>
      <c r="GH61" s="1238"/>
      <c r="GI61" s="1238"/>
      <c r="GJ61" s="1238"/>
      <c r="GK61" s="1238"/>
      <c r="GL61" s="1238"/>
      <c r="GM61" s="1238"/>
      <c r="GN61" s="1238"/>
      <c r="GO61" s="1238"/>
      <c r="GP61" s="1238"/>
    </row>
    <row r="62" spans="1:198" s="1241" customFormat="1">
      <c r="A62" s="1270"/>
      <c r="B62" s="1271" t="s">
        <v>907</v>
      </c>
      <c r="C62" s="1268"/>
      <c r="D62" s="1268"/>
      <c r="E62" s="1268"/>
      <c r="F62" s="1269"/>
      <c r="G62" s="1240"/>
    </row>
    <row r="63" spans="1:198" s="1241" customFormat="1">
      <c r="A63" s="1311"/>
      <c r="B63" s="1271" t="s">
        <v>908</v>
      </c>
      <c r="C63" s="1268"/>
      <c r="D63" s="1268"/>
      <c r="E63" s="1268"/>
      <c r="F63" s="1269"/>
      <c r="G63" s="1240"/>
    </row>
    <row r="64" spans="1:198" s="1241" customFormat="1" ht="86.4">
      <c r="A64" s="1262"/>
      <c r="B64" s="1365" t="s">
        <v>1079</v>
      </c>
      <c r="C64" s="1268"/>
      <c r="D64" s="1268"/>
      <c r="E64" s="1268"/>
      <c r="F64" s="1269"/>
      <c r="G64" s="1240"/>
    </row>
    <row r="65" spans="1:198" s="1241" customFormat="1" ht="16.2">
      <c r="A65" s="1262" t="s">
        <v>1743</v>
      </c>
      <c r="B65" s="1267" t="s">
        <v>1745</v>
      </c>
      <c r="C65" s="1268" t="s">
        <v>465</v>
      </c>
      <c r="D65" s="1268">
        <v>63</v>
      </c>
      <c r="E65" s="1268"/>
      <c r="F65" s="1269"/>
      <c r="G65" s="1240"/>
    </row>
    <row r="66" spans="1:198" s="1241" customFormat="1">
      <c r="A66" s="1262"/>
      <c r="B66" s="1267"/>
      <c r="C66" s="1268"/>
      <c r="D66" s="1268"/>
      <c r="E66" s="1268"/>
      <c r="F66" s="1269"/>
      <c r="G66" s="1240"/>
    </row>
    <row r="67" spans="1:198" s="1241" customFormat="1">
      <c r="A67" s="1270"/>
      <c r="B67" s="1271" t="s">
        <v>913</v>
      </c>
      <c r="C67" s="1268"/>
      <c r="D67" s="1268"/>
      <c r="E67" s="1268"/>
      <c r="F67" s="1269"/>
      <c r="G67" s="1240"/>
    </row>
    <row r="68" spans="1:198" s="1241" customFormat="1" ht="72">
      <c r="A68" s="1262"/>
      <c r="B68" s="1363" t="s">
        <v>914</v>
      </c>
      <c r="C68" s="1268"/>
      <c r="D68" s="1268"/>
      <c r="E68" s="1268"/>
      <c r="F68" s="1269"/>
      <c r="G68" s="1240"/>
    </row>
    <row r="69" spans="1:198" s="1241" customFormat="1" ht="16.2">
      <c r="A69" s="1262" t="s">
        <v>1744</v>
      </c>
      <c r="B69" s="1267" t="s">
        <v>915</v>
      </c>
      <c r="C69" s="1268" t="s">
        <v>465</v>
      </c>
      <c r="D69" s="1268">
        <f>D65</f>
        <v>63</v>
      </c>
      <c r="E69" s="1268"/>
      <c r="F69" s="1269"/>
      <c r="G69" s="1240"/>
    </row>
    <row r="70" spans="1:198" s="1241" customFormat="1">
      <c r="A70" s="1262" t="s">
        <v>1744</v>
      </c>
      <c r="B70" s="1267" t="s">
        <v>916</v>
      </c>
      <c r="C70" s="1268" t="s">
        <v>325</v>
      </c>
      <c r="D70" s="1268">
        <f>CEILING(10.2+11+25.75+11.2+11.5+12.1,1)</f>
        <v>82</v>
      </c>
      <c r="E70" s="1268"/>
      <c r="F70" s="1269"/>
      <c r="G70" s="1240"/>
    </row>
    <row r="71" spans="1:198" s="1241" customFormat="1">
      <c r="A71" s="1298"/>
      <c r="B71" s="1299" t="s">
        <v>413</v>
      </c>
      <c r="C71" s="1300"/>
      <c r="D71" s="1300"/>
      <c r="E71" s="1300"/>
      <c r="F71" s="1301"/>
      <c r="G71" s="1240"/>
    </row>
    <row r="72" spans="1:198" s="1241" customFormat="1">
      <c r="A72" s="1302" t="s">
        <v>260</v>
      </c>
      <c r="B72" s="1303" t="s">
        <v>13</v>
      </c>
      <c r="C72" s="1303" t="s">
        <v>330</v>
      </c>
      <c r="D72" s="1254" t="s">
        <v>331</v>
      </c>
      <c r="E72" s="1255" t="s">
        <v>332</v>
      </c>
      <c r="F72" s="1304"/>
      <c r="G72" s="1240"/>
    </row>
    <row r="73" spans="1:198" s="1241" customFormat="1">
      <c r="A73" s="1313"/>
      <c r="B73" s="1314" t="s">
        <v>410</v>
      </c>
      <c r="C73" s="1314"/>
      <c r="D73" s="1315"/>
      <c r="E73" s="1316"/>
      <c r="F73" s="1301"/>
      <c r="G73" s="1240"/>
    </row>
    <row r="74" spans="1:198" s="1244" customFormat="1">
      <c r="A74" s="1262"/>
      <c r="B74" s="1267"/>
      <c r="C74" s="1268"/>
      <c r="D74" s="1268"/>
      <c r="E74" s="1268"/>
      <c r="F74" s="1269"/>
      <c r="G74" s="1242"/>
      <c r="H74" s="1243"/>
      <c r="I74" s="1243"/>
      <c r="J74" s="1243"/>
      <c r="K74" s="1243"/>
      <c r="L74" s="1243"/>
      <c r="M74" s="1243"/>
      <c r="N74" s="1243"/>
      <c r="O74" s="1243"/>
      <c r="P74" s="1243"/>
      <c r="Q74" s="1243"/>
      <c r="R74" s="1243"/>
      <c r="S74" s="1243"/>
      <c r="T74" s="1243"/>
      <c r="U74" s="1243"/>
      <c r="V74" s="1243"/>
      <c r="W74" s="1243"/>
      <c r="X74" s="1243"/>
      <c r="Y74" s="1243"/>
      <c r="Z74" s="1243"/>
      <c r="AA74" s="1243"/>
      <c r="AB74" s="1243"/>
      <c r="AC74" s="1243"/>
      <c r="AD74" s="1243"/>
      <c r="AE74" s="1243"/>
      <c r="AF74" s="1243"/>
      <c r="AG74" s="1243"/>
      <c r="AH74" s="1243"/>
      <c r="AI74" s="1243"/>
      <c r="AJ74" s="1243"/>
      <c r="AK74" s="1243"/>
      <c r="AL74" s="1243"/>
      <c r="AM74" s="1243"/>
      <c r="AN74" s="1243"/>
      <c r="AO74" s="1243"/>
      <c r="AP74" s="1243"/>
      <c r="AQ74" s="1243"/>
      <c r="AR74" s="1243"/>
      <c r="AS74" s="1243"/>
      <c r="AT74" s="1243"/>
      <c r="AU74" s="1243"/>
      <c r="AV74" s="1243"/>
      <c r="AW74" s="1243"/>
      <c r="AX74" s="1243"/>
      <c r="AY74" s="1243"/>
      <c r="AZ74" s="1243"/>
      <c r="BA74" s="1243"/>
      <c r="BB74" s="1243"/>
      <c r="BC74" s="1243"/>
      <c r="BD74" s="1243"/>
      <c r="BE74" s="1243"/>
      <c r="BF74" s="1243"/>
      <c r="BG74" s="1243"/>
      <c r="BH74" s="1243"/>
      <c r="BI74" s="1243"/>
      <c r="BJ74" s="1243"/>
      <c r="BK74" s="1243"/>
      <c r="BL74" s="1243"/>
      <c r="BM74" s="1243"/>
      <c r="BN74" s="1243"/>
      <c r="BO74" s="1243"/>
      <c r="BP74" s="1243"/>
      <c r="BQ74" s="1243"/>
      <c r="BR74" s="1243"/>
      <c r="BS74" s="1243"/>
      <c r="BT74" s="1243"/>
      <c r="BU74" s="1243"/>
      <c r="BV74" s="1243"/>
      <c r="BW74" s="1243"/>
      <c r="BX74" s="1243"/>
      <c r="BY74" s="1243"/>
      <c r="BZ74" s="1243"/>
      <c r="CA74" s="1243"/>
      <c r="CB74" s="1243"/>
      <c r="CC74" s="1243"/>
      <c r="CD74" s="1243"/>
      <c r="CE74" s="1243"/>
      <c r="CF74" s="1243"/>
      <c r="CG74" s="1243"/>
      <c r="CH74" s="1243"/>
      <c r="CI74" s="1243"/>
      <c r="CJ74" s="1243"/>
      <c r="CK74" s="1243"/>
      <c r="CL74" s="1243"/>
      <c r="CM74" s="1243"/>
      <c r="CN74" s="1243"/>
      <c r="CO74" s="1243"/>
      <c r="CP74" s="1243"/>
      <c r="CQ74" s="1243"/>
      <c r="CR74" s="1243"/>
      <c r="CS74" s="1243"/>
      <c r="CT74" s="1243"/>
      <c r="CU74" s="1243"/>
      <c r="CV74" s="1243"/>
      <c r="CW74" s="1243"/>
      <c r="CX74" s="1243"/>
      <c r="CY74" s="1243"/>
      <c r="CZ74" s="1243"/>
      <c r="DA74" s="1243"/>
      <c r="DB74" s="1243"/>
      <c r="DC74" s="1243"/>
      <c r="DD74" s="1243"/>
      <c r="DE74" s="1243"/>
      <c r="DF74" s="1243"/>
      <c r="DG74" s="1243"/>
      <c r="DH74" s="1243"/>
      <c r="DI74" s="1243"/>
      <c r="DJ74" s="1243"/>
      <c r="DK74" s="1243"/>
      <c r="DL74" s="1243"/>
      <c r="DM74" s="1243"/>
      <c r="DN74" s="1243"/>
      <c r="DO74" s="1243"/>
      <c r="DP74" s="1243"/>
      <c r="DQ74" s="1243"/>
      <c r="DR74" s="1243"/>
      <c r="DS74" s="1243"/>
      <c r="DT74" s="1243"/>
      <c r="DU74" s="1243"/>
      <c r="DV74" s="1243"/>
      <c r="DW74" s="1243"/>
      <c r="DX74" s="1243"/>
      <c r="DY74" s="1243"/>
      <c r="DZ74" s="1243"/>
      <c r="EA74" s="1243"/>
      <c r="EB74" s="1243"/>
      <c r="EC74" s="1243"/>
      <c r="ED74" s="1243"/>
      <c r="EE74" s="1243"/>
      <c r="EF74" s="1243"/>
      <c r="EG74" s="1243"/>
      <c r="EH74" s="1243"/>
      <c r="EI74" s="1243"/>
      <c r="EJ74" s="1243"/>
      <c r="EK74" s="1243"/>
      <c r="EL74" s="1243"/>
      <c r="EM74" s="1243"/>
      <c r="EN74" s="1243"/>
      <c r="EO74" s="1243"/>
      <c r="EP74" s="1243"/>
      <c r="EQ74" s="1243"/>
      <c r="ER74" s="1243"/>
      <c r="ES74" s="1243"/>
      <c r="ET74" s="1243"/>
      <c r="EU74" s="1243"/>
      <c r="EV74" s="1243"/>
      <c r="EW74" s="1243"/>
      <c r="EX74" s="1243"/>
      <c r="EY74" s="1243"/>
      <c r="EZ74" s="1243"/>
      <c r="FA74" s="1243"/>
      <c r="FB74" s="1243"/>
      <c r="FC74" s="1243"/>
      <c r="FD74" s="1243"/>
      <c r="FE74" s="1243"/>
      <c r="FF74" s="1243"/>
      <c r="FG74" s="1243"/>
      <c r="FH74" s="1243"/>
      <c r="FI74" s="1243"/>
      <c r="FJ74" s="1243"/>
      <c r="FK74" s="1243"/>
      <c r="FL74" s="1243"/>
      <c r="FM74" s="1243"/>
      <c r="FN74" s="1243"/>
      <c r="FO74" s="1243"/>
      <c r="FP74" s="1243"/>
      <c r="FQ74" s="1243"/>
      <c r="FR74" s="1243"/>
      <c r="FS74" s="1243"/>
      <c r="FT74" s="1243"/>
      <c r="FU74" s="1243"/>
      <c r="FV74" s="1243"/>
      <c r="FW74" s="1243"/>
      <c r="FX74" s="1243"/>
      <c r="FY74" s="1243"/>
      <c r="FZ74" s="1243"/>
      <c r="GA74" s="1243"/>
      <c r="GB74" s="1243"/>
      <c r="GC74" s="1243"/>
      <c r="GD74" s="1243"/>
      <c r="GE74" s="1243"/>
      <c r="GF74" s="1243"/>
      <c r="GG74" s="1243"/>
      <c r="GH74" s="1243"/>
      <c r="GI74" s="1243"/>
      <c r="GJ74" s="1243"/>
      <c r="GK74" s="1243"/>
      <c r="GL74" s="1243"/>
      <c r="GM74" s="1243"/>
      <c r="GN74" s="1243"/>
      <c r="GO74" s="1243"/>
      <c r="GP74" s="1243"/>
    </row>
    <row r="75" spans="1:198" s="1239" customFormat="1">
      <c r="A75" s="1270"/>
      <c r="B75" s="1271" t="s">
        <v>917</v>
      </c>
      <c r="C75" s="1268"/>
      <c r="D75" s="1268"/>
      <c r="E75" s="1268"/>
      <c r="F75" s="1269"/>
      <c r="G75" s="1237"/>
      <c r="H75" s="1238"/>
      <c r="I75" s="1238"/>
      <c r="J75" s="1238"/>
      <c r="K75" s="1238"/>
      <c r="L75" s="1238"/>
      <c r="M75" s="1238"/>
      <c r="N75" s="1238"/>
      <c r="O75" s="1238"/>
      <c r="P75" s="1238"/>
      <c r="Q75" s="1238"/>
      <c r="R75" s="1238"/>
      <c r="S75" s="1238"/>
      <c r="T75" s="1238"/>
      <c r="U75" s="1238"/>
      <c r="V75" s="1238"/>
      <c r="W75" s="1238"/>
      <c r="X75" s="1238"/>
      <c r="Y75" s="1238"/>
      <c r="Z75" s="1238"/>
      <c r="AA75" s="1238"/>
      <c r="AB75" s="1238"/>
      <c r="AC75" s="1238"/>
      <c r="AD75" s="1238"/>
      <c r="AE75" s="1238"/>
      <c r="AF75" s="1238"/>
      <c r="AG75" s="1238"/>
      <c r="AH75" s="1238"/>
      <c r="AI75" s="1238"/>
      <c r="AJ75" s="1238"/>
      <c r="AK75" s="1238"/>
      <c r="AL75" s="1238"/>
      <c r="AM75" s="1238"/>
      <c r="AN75" s="1238"/>
      <c r="AO75" s="1238"/>
      <c r="AP75" s="1238"/>
      <c r="AQ75" s="1238"/>
      <c r="AR75" s="1238"/>
      <c r="AS75" s="1238"/>
      <c r="AT75" s="1238"/>
      <c r="AU75" s="1238"/>
      <c r="AV75" s="1238"/>
      <c r="AW75" s="1238"/>
      <c r="AX75" s="1238"/>
      <c r="AY75" s="1238"/>
      <c r="AZ75" s="1238"/>
      <c r="BA75" s="1238"/>
      <c r="BB75" s="1238"/>
      <c r="BC75" s="1238"/>
      <c r="BD75" s="1238"/>
      <c r="BE75" s="1238"/>
      <c r="BF75" s="1238"/>
      <c r="BG75" s="1238"/>
      <c r="BH75" s="1238"/>
      <c r="BI75" s="1238"/>
      <c r="BJ75" s="1238"/>
      <c r="BK75" s="1238"/>
      <c r="BL75" s="1238"/>
      <c r="BM75" s="1238"/>
      <c r="BN75" s="1238"/>
      <c r="BO75" s="1238"/>
      <c r="BP75" s="1238"/>
      <c r="BQ75" s="1238"/>
      <c r="BR75" s="1238"/>
      <c r="BS75" s="1238"/>
      <c r="BT75" s="1238"/>
      <c r="BU75" s="1238"/>
      <c r="BV75" s="1238"/>
      <c r="BW75" s="1238"/>
      <c r="BX75" s="1238"/>
      <c r="BY75" s="1238"/>
      <c r="BZ75" s="1238"/>
      <c r="CA75" s="1238"/>
      <c r="CB75" s="1238"/>
      <c r="CC75" s="1238"/>
      <c r="CD75" s="1238"/>
      <c r="CE75" s="1238"/>
      <c r="CF75" s="1238"/>
      <c r="CG75" s="1238"/>
      <c r="CH75" s="1238"/>
      <c r="CI75" s="1238"/>
      <c r="CJ75" s="1238"/>
      <c r="CK75" s="1238"/>
      <c r="CL75" s="1238"/>
      <c r="CM75" s="1238"/>
      <c r="CN75" s="1238"/>
      <c r="CO75" s="1238"/>
      <c r="CP75" s="1238"/>
      <c r="CQ75" s="1238"/>
      <c r="CR75" s="1238"/>
      <c r="CS75" s="1238"/>
      <c r="CT75" s="1238"/>
      <c r="CU75" s="1238"/>
      <c r="CV75" s="1238"/>
      <c r="CW75" s="1238"/>
      <c r="CX75" s="1238"/>
      <c r="CY75" s="1238"/>
      <c r="CZ75" s="1238"/>
      <c r="DA75" s="1238"/>
      <c r="DB75" s="1238"/>
      <c r="DC75" s="1238"/>
      <c r="DD75" s="1238"/>
      <c r="DE75" s="1238"/>
      <c r="DF75" s="1238"/>
      <c r="DG75" s="1238"/>
      <c r="DH75" s="1238"/>
      <c r="DI75" s="1238"/>
      <c r="DJ75" s="1238"/>
      <c r="DK75" s="1238"/>
      <c r="DL75" s="1238"/>
      <c r="DM75" s="1238"/>
      <c r="DN75" s="1238"/>
      <c r="DO75" s="1238"/>
      <c r="DP75" s="1238"/>
      <c r="DQ75" s="1238"/>
      <c r="DR75" s="1238"/>
      <c r="DS75" s="1238"/>
      <c r="DT75" s="1238"/>
      <c r="DU75" s="1238"/>
      <c r="DV75" s="1238"/>
      <c r="DW75" s="1238"/>
      <c r="DX75" s="1238"/>
      <c r="DY75" s="1238"/>
      <c r="DZ75" s="1238"/>
      <c r="EA75" s="1238"/>
      <c r="EB75" s="1238"/>
      <c r="EC75" s="1238"/>
      <c r="ED75" s="1238"/>
      <c r="EE75" s="1238"/>
      <c r="EF75" s="1238"/>
      <c r="EG75" s="1238"/>
      <c r="EH75" s="1238"/>
      <c r="EI75" s="1238"/>
      <c r="EJ75" s="1238"/>
      <c r="EK75" s="1238"/>
      <c r="EL75" s="1238"/>
      <c r="EM75" s="1238"/>
      <c r="EN75" s="1238"/>
      <c r="EO75" s="1238"/>
      <c r="EP75" s="1238"/>
      <c r="EQ75" s="1238"/>
      <c r="ER75" s="1238"/>
      <c r="ES75" s="1238"/>
      <c r="ET75" s="1238"/>
      <c r="EU75" s="1238"/>
      <c r="EV75" s="1238"/>
      <c r="EW75" s="1238"/>
      <c r="EX75" s="1238"/>
      <c r="EY75" s="1238"/>
      <c r="EZ75" s="1238"/>
      <c r="FA75" s="1238"/>
      <c r="FB75" s="1238"/>
      <c r="FC75" s="1238"/>
      <c r="FD75" s="1238"/>
      <c r="FE75" s="1238"/>
      <c r="FF75" s="1238"/>
      <c r="FG75" s="1238"/>
      <c r="FH75" s="1238"/>
      <c r="FI75" s="1238"/>
      <c r="FJ75" s="1238"/>
      <c r="FK75" s="1238"/>
      <c r="FL75" s="1238"/>
      <c r="FM75" s="1238"/>
      <c r="FN75" s="1238"/>
      <c r="FO75" s="1238"/>
      <c r="FP75" s="1238"/>
      <c r="FQ75" s="1238"/>
      <c r="FR75" s="1238"/>
      <c r="FS75" s="1238"/>
      <c r="FT75" s="1238"/>
      <c r="FU75" s="1238"/>
      <c r="FV75" s="1238"/>
      <c r="FW75" s="1238"/>
      <c r="FX75" s="1238"/>
      <c r="FY75" s="1238"/>
      <c r="FZ75" s="1238"/>
      <c r="GA75" s="1238"/>
      <c r="GB75" s="1238"/>
      <c r="GC75" s="1238"/>
      <c r="GD75" s="1238"/>
      <c r="GE75" s="1238"/>
      <c r="GF75" s="1238"/>
      <c r="GG75" s="1238"/>
      <c r="GH75" s="1238"/>
      <c r="GI75" s="1238"/>
      <c r="GJ75" s="1238"/>
      <c r="GK75" s="1238"/>
      <c r="GL75" s="1238"/>
      <c r="GM75" s="1238"/>
      <c r="GN75" s="1238"/>
      <c r="GO75" s="1238"/>
      <c r="GP75" s="1238"/>
    </row>
    <row r="76" spans="1:198" s="1244" customFormat="1">
      <c r="A76" s="1317"/>
      <c r="B76" s="1312" t="s">
        <v>918</v>
      </c>
      <c r="C76" s="1268"/>
      <c r="D76" s="1268"/>
      <c r="E76" s="1268"/>
      <c r="F76" s="1269"/>
      <c r="G76" s="1242"/>
      <c r="H76" s="1243"/>
      <c r="I76" s="1243"/>
      <c r="J76" s="1243"/>
      <c r="K76" s="1243"/>
      <c r="L76" s="1243"/>
      <c r="M76" s="1243"/>
      <c r="N76" s="1243"/>
      <c r="O76" s="1243"/>
      <c r="P76" s="1243"/>
      <c r="Q76" s="1243"/>
      <c r="R76" s="1243"/>
      <c r="S76" s="1243"/>
      <c r="T76" s="1243"/>
      <c r="U76" s="1243"/>
      <c r="V76" s="1243"/>
      <c r="W76" s="1243"/>
      <c r="X76" s="1243"/>
      <c r="Y76" s="1243"/>
      <c r="Z76" s="1243"/>
      <c r="AA76" s="1243"/>
      <c r="AB76" s="1243"/>
      <c r="AC76" s="1243"/>
      <c r="AD76" s="1243"/>
      <c r="AE76" s="1243"/>
      <c r="AF76" s="1243"/>
      <c r="AG76" s="1243"/>
      <c r="AH76" s="1243"/>
      <c r="AI76" s="1243"/>
      <c r="AJ76" s="1243"/>
      <c r="AK76" s="1243"/>
      <c r="AL76" s="1243"/>
      <c r="AM76" s="1243"/>
      <c r="AN76" s="1243"/>
      <c r="AO76" s="1243"/>
      <c r="AP76" s="1243"/>
      <c r="AQ76" s="1243"/>
      <c r="AR76" s="1243"/>
      <c r="AS76" s="1243"/>
      <c r="AT76" s="1243"/>
      <c r="AU76" s="1243"/>
      <c r="AV76" s="1243"/>
      <c r="AW76" s="1243"/>
      <c r="AX76" s="1243"/>
      <c r="AY76" s="1243"/>
      <c r="AZ76" s="1243"/>
      <c r="BA76" s="1243"/>
      <c r="BB76" s="1243"/>
      <c r="BC76" s="1243"/>
      <c r="BD76" s="1243"/>
      <c r="BE76" s="1243"/>
      <c r="BF76" s="1243"/>
      <c r="BG76" s="1243"/>
      <c r="BH76" s="1243"/>
      <c r="BI76" s="1243"/>
      <c r="BJ76" s="1243"/>
      <c r="BK76" s="1243"/>
      <c r="BL76" s="1243"/>
      <c r="BM76" s="1243"/>
      <c r="BN76" s="1243"/>
      <c r="BO76" s="1243"/>
      <c r="BP76" s="1243"/>
      <c r="BQ76" s="1243"/>
      <c r="BR76" s="1243"/>
      <c r="BS76" s="1243"/>
      <c r="BT76" s="1243"/>
      <c r="BU76" s="1243"/>
      <c r="BV76" s="1243"/>
      <c r="BW76" s="1243"/>
      <c r="BX76" s="1243"/>
      <c r="BY76" s="1243"/>
      <c r="BZ76" s="1243"/>
      <c r="CA76" s="1243"/>
      <c r="CB76" s="1243"/>
      <c r="CC76" s="1243"/>
      <c r="CD76" s="1243"/>
      <c r="CE76" s="1243"/>
      <c r="CF76" s="1243"/>
      <c r="CG76" s="1243"/>
      <c r="CH76" s="1243"/>
      <c r="CI76" s="1243"/>
      <c r="CJ76" s="1243"/>
      <c r="CK76" s="1243"/>
      <c r="CL76" s="1243"/>
      <c r="CM76" s="1243"/>
      <c r="CN76" s="1243"/>
      <c r="CO76" s="1243"/>
      <c r="CP76" s="1243"/>
      <c r="CQ76" s="1243"/>
      <c r="CR76" s="1243"/>
      <c r="CS76" s="1243"/>
      <c r="CT76" s="1243"/>
      <c r="CU76" s="1243"/>
      <c r="CV76" s="1243"/>
      <c r="CW76" s="1243"/>
      <c r="CX76" s="1243"/>
      <c r="CY76" s="1243"/>
      <c r="CZ76" s="1243"/>
      <c r="DA76" s="1243"/>
      <c r="DB76" s="1243"/>
      <c r="DC76" s="1243"/>
      <c r="DD76" s="1243"/>
      <c r="DE76" s="1243"/>
      <c r="DF76" s="1243"/>
      <c r="DG76" s="1243"/>
      <c r="DH76" s="1243"/>
      <c r="DI76" s="1243"/>
      <c r="DJ76" s="1243"/>
      <c r="DK76" s="1243"/>
      <c r="DL76" s="1243"/>
      <c r="DM76" s="1243"/>
      <c r="DN76" s="1243"/>
      <c r="DO76" s="1243"/>
      <c r="DP76" s="1243"/>
      <c r="DQ76" s="1243"/>
      <c r="DR76" s="1243"/>
      <c r="DS76" s="1243"/>
      <c r="DT76" s="1243"/>
      <c r="DU76" s="1243"/>
      <c r="DV76" s="1243"/>
      <c r="DW76" s="1243"/>
      <c r="DX76" s="1243"/>
      <c r="DY76" s="1243"/>
      <c r="DZ76" s="1243"/>
      <c r="EA76" s="1243"/>
      <c r="EB76" s="1243"/>
      <c r="EC76" s="1243"/>
      <c r="ED76" s="1243"/>
      <c r="EE76" s="1243"/>
      <c r="EF76" s="1243"/>
      <c r="EG76" s="1243"/>
      <c r="EH76" s="1243"/>
      <c r="EI76" s="1243"/>
      <c r="EJ76" s="1243"/>
      <c r="EK76" s="1243"/>
      <c r="EL76" s="1243"/>
      <c r="EM76" s="1243"/>
      <c r="EN76" s="1243"/>
      <c r="EO76" s="1243"/>
      <c r="EP76" s="1243"/>
      <c r="EQ76" s="1243"/>
      <c r="ER76" s="1243"/>
      <c r="ES76" s="1243"/>
      <c r="ET76" s="1243"/>
      <c r="EU76" s="1243"/>
      <c r="EV76" s="1243"/>
      <c r="EW76" s="1243"/>
      <c r="EX76" s="1243"/>
      <c r="EY76" s="1243"/>
      <c r="EZ76" s="1243"/>
      <c r="FA76" s="1243"/>
      <c r="FB76" s="1243"/>
      <c r="FC76" s="1243"/>
      <c r="FD76" s="1243"/>
      <c r="FE76" s="1243"/>
      <c r="FF76" s="1243"/>
      <c r="FG76" s="1243"/>
      <c r="FH76" s="1243"/>
      <c r="FI76" s="1243"/>
      <c r="FJ76" s="1243"/>
      <c r="FK76" s="1243"/>
      <c r="FL76" s="1243"/>
      <c r="FM76" s="1243"/>
      <c r="FN76" s="1243"/>
      <c r="FO76" s="1243"/>
      <c r="FP76" s="1243"/>
      <c r="FQ76" s="1243"/>
      <c r="FR76" s="1243"/>
      <c r="FS76" s="1243"/>
      <c r="FT76" s="1243"/>
      <c r="FU76" s="1243"/>
      <c r="FV76" s="1243"/>
      <c r="FW76" s="1243"/>
      <c r="FX76" s="1243"/>
      <c r="FY76" s="1243"/>
      <c r="FZ76" s="1243"/>
      <c r="GA76" s="1243"/>
      <c r="GB76" s="1243"/>
      <c r="GC76" s="1243"/>
      <c r="GD76" s="1243"/>
      <c r="GE76" s="1243"/>
      <c r="GF76" s="1243"/>
      <c r="GG76" s="1243"/>
      <c r="GH76" s="1243"/>
      <c r="GI76" s="1243"/>
      <c r="GJ76" s="1243"/>
      <c r="GK76" s="1243"/>
      <c r="GL76" s="1243"/>
      <c r="GM76" s="1243"/>
      <c r="GN76" s="1243"/>
      <c r="GO76" s="1243"/>
      <c r="GP76" s="1243"/>
    </row>
    <row r="77" spans="1:198" s="1241" customFormat="1">
      <c r="A77" s="1262"/>
      <c r="B77" s="1312" t="s">
        <v>919</v>
      </c>
      <c r="C77" s="1268"/>
      <c r="D77" s="1268"/>
      <c r="E77" s="1268"/>
      <c r="F77" s="1269"/>
      <c r="G77" s="1240"/>
    </row>
    <row r="78" spans="1:198" s="1241" customFormat="1" ht="16.2">
      <c r="A78" s="1262" t="s">
        <v>1743</v>
      </c>
      <c r="B78" s="1267" t="s">
        <v>920</v>
      </c>
      <c r="C78" s="1268" t="s">
        <v>465</v>
      </c>
      <c r="D78" s="1268">
        <v>246</v>
      </c>
      <c r="E78" s="1268"/>
      <c r="F78" s="1269"/>
      <c r="G78" s="1240"/>
    </row>
    <row r="79" spans="1:198" s="1241" customFormat="1" ht="16.2">
      <c r="A79" s="1262"/>
      <c r="B79" s="1267" t="s">
        <v>605</v>
      </c>
      <c r="C79" s="1268" t="s">
        <v>465</v>
      </c>
      <c r="D79" s="1268">
        <v>63</v>
      </c>
      <c r="E79" s="1268"/>
      <c r="F79" s="1269"/>
      <c r="G79" s="1240"/>
    </row>
    <row r="80" spans="1:198" s="1241" customFormat="1" ht="16.5" customHeight="1">
      <c r="A80" s="1270"/>
      <c r="B80" s="1271" t="s">
        <v>921</v>
      </c>
      <c r="C80" s="1268"/>
      <c r="D80" s="1268"/>
      <c r="E80" s="1268"/>
      <c r="F80" s="1269"/>
      <c r="G80" s="1240"/>
    </row>
    <row r="81" spans="1:7" s="1246" customFormat="1">
      <c r="A81" s="1317"/>
      <c r="B81" s="1312" t="s">
        <v>922</v>
      </c>
      <c r="C81" s="1268"/>
      <c r="D81" s="1268"/>
      <c r="E81" s="1268"/>
      <c r="F81" s="1269"/>
      <c r="G81" s="1245"/>
    </row>
    <row r="82" spans="1:7" s="1234" customFormat="1">
      <c r="A82" s="1262"/>
      <c r="B82" s="1312" t="s">
        <v>923</v>
      </c>
      <c r="C82" s="1268"/>
      <c r="D82" s="1268"/>
      <c r="E82" s="1268"/>
      <c r="F82" s="1269"/>
      <c r="G82" s="1251"/>
    </row>
    <row r="83" spans="1:7" s="1236" customFormat="1" ht="16.2">
      <c r="A83" s="1262" t="s">
        <v>1744</v>
      </c>
      <c r="B83" s="1267" t="s">
        <v>924</v>
      </c>
      <c r="C83" s="1268" t="s">
        <v>930</v>
      </c>
      <c r="D83" s="1268">
        <f>D70*3</f>
        <v>246</v>
      </c>
      <c r="E83" s="1318"/>
      <c r="F83" s="1269"/>
      <c r="G83" s="1235"/>
    </row>
    <row r="84" spans="1:7" s="1248" customFormat="1" ht="16.2">
      <c r="A84" s="1262" t="s">
        <v>1746</v>
      </c>
      <c r="B84" s="1267" t="s">
        <v>926</v>
      </c>
      <c r="C84" s="1268" t="s">
        <v>930</v>
      </c>
      <c r="D84" s="1268">
        <f>CEILING(36.7*3,1)</f>
        <v>111</v>
      </c>
      <c r="E84" s="1318"/>
      <c r="F84" s="1269"/>
      <c r="G84" s="1247"/>
    </row>
    <row r="85" spans="1:7" s="1241" customFormat="1">
      <c r="A85" s="1291" t="s">
        <v>1747</v>
      </c>
      <c r="B85" s="1292" t="s">
        <v>1749</v>
      </c>
      <c r="C85" s="1293" t="s">
        <v>8</v>
      </c>
      <c r="D85" s="1294">
        <f>D79</f>
        <v>63</v>
      </c>
      <c r="E85" s="1295"/>
      <c r="F85" s="1296"/>
      <c r="G85" s="1240"/>
    </row>
    <row r="86" spans="1:7" s="1249" customFormat="1" ht="16.2">
      <c r="A86" s="1262" t="s">
        <v>1748</v>
      </c>
      <c r="B86" s="1267" t="s">
        <v>1080</v>
      </c>
      <c r="C86" s="1268" t="s">
        <v>930</v>
      </c>
      <c r="D86" s="1268">
        <f>5</f>
        <v>5</v>
      </c>
      <c r="E86" s="1318"/>
      <c r="F86" s="1269"/>
      <c r="G86" s="66"/>
    </row>
    <row r="87" spans="1:7" s="1249" customFormat="1">
      <c r="A87" s="1319"/>
      <c r="B87" s="1267"/>
      <c r="C87" s="1268"/>
      <c r="D87" s="1268"/>
      <c r="E87" s="1318"/>
      <c r="F87" s="1269"/>
      <c r="G87" s="66"/>
    </row>
    <row r="88" spans="1:7" s="1249" customFormat="1">
      <c r="A88" s="1298"/>
      <c r="B88" s="1320" t="s">
        <v>693</v>
      </c>
      <c r="C88" s="1300"/>
      <c r="D88" s="1300"/>
      <c r="E88" s="1300"/>
      <c r="F88" s="1301"/>
      <c r="G88" s="66"/>
    </row>
    <row r="89" spans="1:7" s="1249" customFormat="1">
      <c r="A89" s="1302" t="s">
        <v>260</v>
      </c>
      <c r="B89" s="1303" t="s">
        <v>13</v>
      </c>
      <c r="C89" s="1303" t="s">
        <v>330</v>
      </c>
      <c r="D89" s="1254" t="s">
        <v>331</v>
      </c>
      <c r="E89" s="1255" t="s">
        <v>332</v>
      </c>
      <c r="F89" s="1304"/>
      <c r="G89" s="66"/>
    </row>
    <row r="90" spans="1:7" s="1249" customFormat="1">
      <c r="A90" s="1313"/>
      <c r="B90" s="1321" t="s">
        <v>1082</v>
      </c>
      <c r="C90" s="1322"/>
      <c r="D90" s="1323"/>
      <c r="E90" s="1322"/>
      <c r="F90" s="1301"/>
      <c r="G90" s="66"/>
    </row>
    <row r="91" spans="1:7" s="1249" customFormat="1">
      <c r="A91" s="1324"/>
      <c r="B91" s="1325"/>
      <c r="C91" s="1326"/>
      <c r="D91" s="1327"/>
      <c r="E91" s="1328"/>
      <c r="F91" s="1269"/>
      <c r="G91" s="66"/>
    </row>
    <row r="92" spans="1:7" s="1249" customFormat="1">
      <c r="A92" s="1271">
        <v>4.25</v>
      </c>
      <c r="B92" s="1271" t="s">
        <v>310</v>
      </c>
      <c r="C92" s="1322"/>
      <c r="D92" s="1323"/>
      <c r="E92" s="1322"/>
      <c r="F92" s="1269"/>
      <c r="G92" s="66"/>
    </row>
    <row r="93" spans="1:7" s="1249" customFormat="1" ht="57.6">
      <c r="A93" s="1329"/>
      <c r="B93" s="1363" t="s">
        <v>467</v>
      </c>
      <c r="C93" s="1330"/>
      <c r="D93" s="1323"/>
      <c r="E93" s="1322"/>
      <c r="F93" s="1269"/>
      <c r="G93" s="66"/>
    </row>
    <row r="94" spans="1:7" s="1249" customFormat="1">
      <c r="A94" s="1329" t="s">
        <v>1069</v>
      </c>
      <c r="B94" s="1331" t="s">
        <v>704</v>
      </c>
      <c r="C94" s="1330" t="s">
        <v>10</v>
      </c>
      <c r="D94" s="1330">
        <v>12</v>
      </c>
      <c r="E94" s="1322"/>
      <c r="F94" s="1269"/>
      <c r="G94" s="66"/>
    </row>
    <row r="95" spans="1:7" s="1249" customFormat="1">
      <c r="A95" s="1329"/>
      <c r="B95" s="1331"/>
      <c r="C95" s="1330"/>
      <c r="D95" s="1330"/>
      <c r="E95" s="1322"/>
      <c r="F95" s="1269"/>
      <c r="G95" s="66"/>
    </row>
    <row r="96" spans="1:7" s="1249" customFormat="1">
      <c r="A96" s="1271">
        <v>4.26</v>
      </c>
      <c r="B96" s="1271" t="s">
        <v>311</v>
      </c>
      <c r="C96" s="1330"/>
      <c r="D96" s="1330"/>
      <c r="E96" s="1322"/>
      <c r="F96" s="1269"/>
      <c r="G96" s="66"/>
    </row>
    <row r="97" spans="1:7" s="1249" customFormat="1">
      <c r="A97" s="1329" t="s">
        <v>1070</v>
      </c>
      <c r="B97" s="1331" t="s">
        <v>312</v>
      </c>
      <c r="C97" s="1330" t="s">
        <v>304</v>
      </c>
      <c r="D97" s="1330">
        <v>7</v>
      </c>
      <c r="E97" s="1322"/>
      <c r="F97" s="1269"/>
      <c r="G97" s="66"/>
    </row>
    <row r="98" spans="1:7" s="1249" customFormat="1">
      <c r="A98" s="1329"/>
      <c r="B98" s="1331"/>
      <c r="C98" s="1330"/>
      <c r="D98" s="1330"/>
      <c r="E98" s="1322"/>
      <c r="F98" s="1269"/>
      <c r="G98" s="66"/>
    </row>
    <row r="99" spans="1:7" s="1249" customFormat="1">
      <c r="A99" s="1271">
        <v>4.2699999999999996</v>
      </c>
      <c r="B99" s="1271" t="s">
        <v>313</v>
      </c>
      <c r="C99" s="1322"/>
      <c r="D99" s="1323"/>
      <c r="E99" s="1322"/>
      <c r="F99" s="1269"/>
      <c r="G99" s="66"/>
    </row>
    <row r="100" spans="1:7" s="1249" customFormat="1" ht="115.2">
      <c r="A100" s="1329"/>
      <c r="B100" s="1363" t="s">
        <v>631</v>
      </c>
      <c r="C100" s="1330"/>
      <c r="D100" s="1323"/>
      <c r="E100" s="1322"/>
      <c r="F100" s="1269"/>
      <c r="G100" s="66"/>
    </row>
    <row r="101" spans="1:7" s="1249" customFormat="1">
      <c r="A101" s="1329"/>
      <c r="B101" s="1332" t="s">
        <v>314</v>
      </c>
      <c r="C101" s="1330"/>
      <c r="D101" s="1323"/>
      <c r="E101" s="1322"/>
      <c r="F101" s="1269"/>
      <c r="G101" s="66"/>
    </row>
    <row r="102" spans="1:7" s="1249" customFormat="1">
      <c r="A102" s="1329" t="s">
        <v>1071</v>
      </c>
      <c r="B102" s="1332" t="s">
        <v>315</v>
      </c>
      <c r="C102" s="1330" t="s">
        <v>304</v>
      </c>
      <c r="D102" s="1330">
        <v>10</v>
      </c>
      <c r="E102" s="1322"/>
      <c r="F102" s="1269"/>
      <c r="G102" s="66"/>
    </row>
    <row r="103" spans="1:7" s="1249" customFormat="1">
      <c r="A103" s="1329"/>
      <c r="B103" s="1332"/>
      <c r="C103" s="1330"/>
      <c r="D103" s="1330"/>
      <c r="E103" s="1322"/>
      <c r="F103" s="1269"/>
      <c r="G103" s="66"/>
    </row>
    <row r="104" spans="1:7" s="1250" customFormat="1">
      <c r="A104" s="1271">
        <v>4.28</v>
      </c>
      <c r="B104" s="1271" t="s">
        <v>316</v>
      </c>
      <c r="C104" s="1322"/>
      <c r="D104" s="1323"/>
      <c r="E104" s="1322"/>
      <c r="F104" s="1269"/>
      <c r="G104" s="1189"/>
    </row>
    <row r="105" spans="1:7" ht="86.4">
      <c r="A105" s="1329"/>
      <c r="B105" s="1363" t="s">
        <v>705</v>
      </c>
      <c r="C105" s="1330"/>
      <c r="D105" s="1323"/>
      <c r="E105" s="1322"/>
      <c r="F105" s="1269"/>
      <c r="G105" s="62"/>
    </row>
    <row r="106" spans="1:7">
      <c r="A106" s="1329" t="s">
        <v>1072</v>
      </c>
      <c r="B106" s="1332" t="s">
        <v>317</v>
      </c>
      <c r="C106" s="1330" t="s">
        <v>318</v>
      </c>
      <c r="D106" s="1330">
        <f>CEILING(36.4*5/2,1)</f>
        <v>91</v>
      </c>
      <c r="E106" s="1322"/>
      <c r="F106" s="1269"/>
      <c r="G106" s="62"/>
    </row>
    <row r="107" spans="1:7">
      <c r="A107" s="1329"/>
      <c r="B107" s="1332"/>
      <c r="C107" s="1330"/>
      <c r="D107" s="1330"/>
      <c r="E107" s="1322"/>
      <c r="F107" s="1269"/>
      <c r="G107" s="62"/>
    </row>
    <row r="108" spans="1:7">
      <c r="A108" s="1271">
        <v>4.29</v>
      </c>
      <c r="B108" s="1271" t="s">
        <v>1062</v>
      </c>
      <c r="C108" s="1330"/>
      <c r="D108" s="1330"/>
      <c r="E108" s="1322"/>
      <c r="F108" s="1269"/>
      <c r="G108" s="62"/>
    </row>
    <row r="109" spans="1:7" ht="43.2">
      <c r="A109" s="1333"/>
      <c r="B109" s="1363" t="s">
        <v>706</v>
      </c>
      <c r="C109" s="1334"/>
      <c r="D109" s="1330"/>
      <c r="E109" s="1322"/>
      <c r="F109" s="1269"/>
      <c r="G109" s="62"/>
    </row>
    <row r="110" spans="1:7">
      <c r="A110" s="1333" t="s">
        <v>1073</v>
      </c>
      <c r="B110" s="1335" t="s">
        <v>319</v>
      </c>
      <c r="C110" s="1334" t="s">
        <v>320</v>
      </c>
      <c r="D110" s="1330">
        <v>6</v>
      </c>
      <c r="E110" s="1322"/>
      <c r="F110" s="1269"/>
      <c r="G110" s="62"/>
    </row>
    <row r="111" spans="1:7">
      <c r="A111" s="1333"/>
      <c r="B111" s="1335"/>
      <c r="C111" s="1334"/>
      <c r="D111" s="1330"/>
      <c r="E111" s="1322"/>
      <c r="F111" s="1269"/>
      <c r="G111" s="62"/>
    </row>
    <row r="112" spans="1:7">
      <c r="A112" s="1336" t="s">
        <v>1074</v>
      </c>
      <c r="B112" s="1271" t="s">
        <v>1065</v>
      </c>
      <c r="C112" s="1334"/>
      <c r="D112" s="1330"/>
      <c r="E112" s="1322"/>
      <c r="F112" s="1269"/>
      <c r="G112" s="62"/>
    </row>
    <row r="113" spans="1:7" ht="43.2">
      <c r="A113" s="1333"/>
      <c r="B113" s="1364" t="s">
        <v>707</v>
      </c>
      <c r="C113" s="1330"/>
      <c r="D113" s="1330"/>
      <c r="E113" s="1322"/>
      <c r="F113" s="1269"/>
      <c r="G113" s="62"/>
    </row>
    <row r="114" spans="1:7">
      <c r="A114" s="1333" t="s">
        <v>1075</v>
      </c>
      <c r="B114" s="1335" t="s">
        <v>632</v>
      </c>
      <c r="C114" s="1334" t="s">
        <v>633</v>
      </c>
      <c r="D114" s="1330">
        <v>6</v>
      </c>
      <c r="E114" s="1322"/>
      <c r="F114" s="1269"/>
      <c r="G114" s="62"/>
    </row>
    <row r="115" spans="1:7">
      <c r="A115" s="1324"/>
      <c r="B115" s="1337" t="s">
        <v>694</v>
      </c>
      <c r="C115" s="1338"/>
      <c r="D115" s="1339"/>
      <c r="E115" s="1340"/>
      <c r="F115" s="1301"/>
      <c r="G115" s="62"/>
    </row>
    <row r="116" spans="1:7">
      <c r="A116" s="1333"/>
      <c r="B116" s="1341"/>
      <c r="C116" s="1341"/>
      <c r="D116" s="1341"/>
      <c r="E116" s="1341"/>
      <c r="F116" s="1342"/>
      <c r="G116" s="62"/>
    </row>
    <row r="117" spans="1:7">
      <c r="A117" s="1333"/>
      <c r="B117" s="1343" t="s">
        <v>669</v>
      </c>
      <c r="C117" s="1341"/>
      <c r="D117" s="1341"/>
      <c r="E117" s="1341"/>
      <c r="F117" s="1344"/>
      <c r="G117" s="62"/>
    </row>
    <row r="118" spans="1:7">
      <c r="A118" s="1333"/>
      <c r="B118" s="1341"/>
      <c r="C118" s="1341"/>
      <c r="D118" s="1341"/>
      <c r="E118" s="1341"/>
      <c r="F118" s="1344"/>
      <c r="G118" s="62"/>
    </row>
    <row r="119" spans="1:7" s="150" customFormat="1">
      <c r="A119" s="1333"/>
      <c r="B119" s="1341"/>
      <c r="C119" s="1341"/>
      <c r="D119" s="1341"/>
      <c r="E119" s="1341"/>
      <c r="F119" s="1344"/>
      <c r="G119" s="222"/>
    </row>
    <row r="120" spans="1:7">
      <c r="A120" s="1333">
        <v>1</v>
      </c>
      <c r="B120" s="1341" t="str">
        <f>B7</f>
        <v>ELEMENT NO. 1 - SUPERSTRUCTURE</v>
      </c>
      <c r="C120" s="1341"/>
      <c r="D120" s="1341"/>
      <c r="E120" s="1341"/>
      <c r="F120" s="1344"/>
    </row>
    <row r="121" spans="1:7">
      <c r="A121" s="1333"/>
      <c r="B121" s="1341"/>
      <c r="C121" s="1341"/>
      <c r="D121" s="1341"/>
      <c r="E121" s="1341"/>
      <c r="F121" s="1344"/>
    </row>
    <row r="122" spans="1:7">
      <c r="A122" s="1333">
        <v>2</v>
      </c>
      <c r="B122" s="1345" t="str">
        <f>B90</f>
        <v>ELEMENT NO. 2: ELECTRICAL INSTALLATIONS AND SERVICES</v>
      </c>
      <c r="C122" s="1341"/>
      <c r="D122" s="1341"/>
      <c r="E122" s="1341"/>
      <c r="F122" s="1344"/>
    </row>
    <row r="123" spans="1:7">
      <c r="A123" s="1333"/>
      <c r="B123" s="1341"/>
      <c r="C123" s="1341"/>
      <c r="D123" s="1341"/>
      <c r="E123" s="1341"/>
      <c r="F123" s="1344"/>
    </row>
    <row r="124" spans="1:7">
      <c r="A124" s="1333"/>
      <c r="B124" s="1341"/>
      <c r="C124" s="1341"/>
      <c r="D124" s="1341"/>
      <c r="E124" s="1341"/>
      <c r="F124" s="1344"/>
    </row>
    <row r="125" spans="1:7">
      <c r="A125" s="1333"/>
      <c r="B125" s="1341"/>
      <c r="C125" s="1341"/>
      <c r="D125" s="1341"/>
      <c r="E125" s="1341"/>
      <c r="F125" s="1344"/>
    </row>
    <row r="126" spans="1:7">
      <c r="A126" s="1346"/>
      <c r="B126" s="1347" t="s">
        <v>1066</v>
      </c>
      <c r="C126" s="1347"/>
      <c r="D126" s="1347"/>
      <c r="E126" s="1347"/>
      <c r="F126" s="1348"/>
    </row>
    <row r="127" spans="1:7">
      <c r="A127" s="1349"/>
      <c r="B127" s="1350"/>
      <c r="C127" s="1350"/>
      <c r="D127" s="1350"/>
      <c r="E127" s="1350"/>
      <c r="F127" s="1350"/>
    </row>
  </sheetData>
  <pageMargins left="0.7" right="0.7" top="0.75" bottom="0.75" header="0.3" footer="0.3"/>
  <pageSetup scale="66" orientation="portrait" r:id="rId1"/>
  <rowBreaks count="4" manualBreakCount="4">
    <brk id="40" max="5" man="1"/>
    <brk id="71" max="5" man="1"/>
    <brk id="88" max="5" man="1"/>
    <brk id="115"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210"/>
  <sheetViews>
    <sheetView view="pageBreakPreview" zoomScale="131" zoomScaleNormal="100" zoomScaleSheetLayoutView="131" workbookViewId="0">
      <pane xSplit="1" ySplit="1" topLeftCell="B2" activePane="bottomRight" state="frozen"/>
      <selection pane="topRight" activeCell="B1" sqref="B1"/>
      <selection pane="bottomLeft" activeCell="A2" sqref="A2"/>
      <selection pane="bottomRight" activeCell="G1" sqref="G1:I1048576"/>
    </sheetView>
  </sheetViews>
  <sheetFormatPr defaultColWidth="8.88671875" defaultRowHeight="14.4"/>
  <cols>
    <col min="1" max="1" width="6.6640625" style="1032" bestFit="1" customWidth="1"/>
    <col min="2" max="2" width="50.6640625" style="1011" customWidth="1"/>
    <col min="3" max="3" width="8.88671875" style="1011"/>
    <col min="4" max="4" width="8.44140625" style="1011" bestFit="1" customWidth="1"/>
    <col min="5" max="5" width="8.5546875" style="1011" customWidth="1"/>
    <col min="6" max="6" width="14.6640625" style="1011" bestFit="1" customWidth="1"/>
    <col min="7" max="16384" width="8.88671875" style="1011"/>
  </cols>
  <sheetData>
    <row r="1" spans="1:6" s="1010" customFormat="1">
      <c r="A1" s="983" t="s">
        <v>260</v>
      </c>
      <c r="B1" s="984" t="s">
        <v>13</v>
      </c>
      <c r="C1" s="985" t="s">
        <v>330</v>
      </c>
      <c r="D1" s="986" t="s">
        <v>331</v>
      </c>
      <c r="E1" s="987" t="s">
        <v>332</v>
      </c>
      <c r="F1" s="988"/>
    </row>
    <row r="2" spans="1:6">
      <c r="A2" s="990"/>
      <c r="B2" s="852" t="str">
        <f>'1 Preliminaries '!B2</f>
        <v>PROPOSED MALE TRANSITION CENTER - BAIDOA</v>
      </c>
      <c r="C2" s="853"/>
      <c r="D2" s="854"/>
      <c r="E2" s="855"/>
      <c r="F2" s="856"/>
    </row>
    <row r="3" spans="1:6">
      <c r="A3" s="990"/>
      <c r="B3" s="857" t="s">
        <v>1197</v>
      </c>
      <c r="C3" s="853"/>
      <c r="D3" s="854"/>
      <c r="E3" s="855"/>
      <c r="F3" s="856"/>
    </row>
    <row r="4" spans="1:6">
      <c r="A4" s="990"/>
      <c r="B4" s="857"/>
      <c r="C4" s="853"/>
      <c r="D4" s="854"/>
      <c r="E4" s="855"/>
      <c r="F4" s="856"/>
    </row>
    <row r="5" spans="1:6">
      <c r="A5" s="991">
        <v>5</v>
      </c>
      <c r="B5" s="852" t="s">
        <v>1198</v>
      </c>
      <c r="C5" s="858"/>
      <c r="D5" s="859"/>
      <c r="E5" s="860"/>
      <c r="F5" s="861"/>
    </row>
    <row r="6" spans="1:6">
      <c r="A6" s="991"/>
      <c r="B6" s="862"/>
      <c r="C6" s="858"/>
      <c r="D6" s="859"/>
      <c r="E6" s="860"/>
      <c r="F6" s="861"/>
    </row>
    <row r="7" spans="1:6">
      <c r="A7" s="991">
        <v>5.0999999999999996</v>
      </c>
      <c r="B7" s="852" t="s">
        <v>476</v>
      </c>
      <c r="C7" s="858"/>
      <c r="D7" s="859"/>
      <c r="E7" s="860"/>
      <c r="F7" s="861"/>
    </row>
    <row r="8" spans="1:6" ht="16.2">
      <c r="A8" s="991" t="s">
        <v>911</v>
      </c>
      <c r="B8" s="863" t="s">
        <v>698</v>
      </c>
      <c r="C8" s="859" t="s">
        <v>465</v>
      </c>
      <c r="D8" s="859">
        <v>62</v>
      </c>
      <c r="E8" s="860"/>
      <c r="F8" s="861"/>
    </row>
    <row r="9" spans="1:6" ht="42" customHeight="1">
      <c r="A9" s="991" t="s">
        <v>1141</v>
      </c>
      <c r="B9" s="863" t="s">
        <v>477</v>
      </c>
      <c r="C9" s="859" t="s">
        <v>465</v>
      </c>
      <c r="D9" s="859">
        <f>D8</f>
        <v>62</v>
      </c>
      <c r="E9" s="860"/>
      <c r="F9" s="861"/>
    </row>
    <row r="10" spans="1:6" ht="28.8">
      <c r="A10" s="991" t="s">
        <v>771</v>
      </c>
      <c r="B10" s="863" t="s">
        <v>1090</v>
      </c>
      <c r="C10" s="859" t="s">
        <v>689</v>
      </c>
      <c r="D10" s="859">
        <f>CEILING((31.6)*0.4*0.4,1)</f>
        <v>6</v>
      </c>
      <c r="E10" s="860"/>
      <c r="F10" s="861"/>
    </row>
    <row r="11" spans="1:6" ht="28.8">
      <c r="A11" s="991" t="s">
        <v>772</v>
      </c>
      <c r="B11" s="863" t="s">
        <v>1091</v>
      </c>
      <c r="C11" s="859" t="s">
        <v>465</v>
      </c>
      <c r="D11" s="859">
        <f>CEILING((31.6)*0.6,1)</f>
        <v>19</v>
      </c>
      <c r="E11" s="860"/>
      <c r="F11" s="861"/>
    </row>
    <row r="12" spans="1:6">
      <c r="A12" s="991"/>
      <c r="B12" s="852" t="s">
        <v>699</v>
      </c>
      <c r="C12" s="859"/>
      <c r="D12" s="859"/>
      <c r="E12" s="860"/>
      <c r="F12" s="864"/>
    </row>
    <row r="13" spans="1:6" ht="28.8">
      <c r="A13" s="991" t="s">
        <v>773</v>
      </c>
      <c r="B13" s="863" t="s">
        <v>700</v>
      </c>
      <c r="C13" s="859" t="s">
        <v>465</v>
      </c>
      <c r="D13" s="859">
        <f>D9</f>
        <v>62</v>
      </c>
      <c r="E13" s="860"/>
      <c r="F13" s="861"/>
    </row>
    <row r="14" spans="1:6" ht="28.8">
      <c r="A14" s="991" t="s">
        <v>774</v>
      </c>
      <c r="B14" s="863" t="s">
        <v>701</v>
      </c>
      <c r="C14" s="859" t="s">
        <v>465</v>
      </c>
      <c r="D14" s="859">
        <f>D13</f>
        <v>62</v>
      </c>
      <c r="E14" s="860"/>
      <c r="F14" s="861"/>
    </row>
    <row r="15" spans="1:6">
      <c r="A15" s="991" t="s">
        <v>1142</v>
      </c>
      <c r="B15" s="852" t="s">
        <v>307</v>
      </c>
      <c r="C15" s="858"/>
      <c r="D15" s="859"/>
      <c r="E15" s="860"/>
      <c r="F15" s="861"/>
    </row>
    <row r="16" spans="1:6" ht="43.2">
      <c r="A16" s="991" t="s">
        <v>1143</v>
      </c>
      <c r="B16" s="863" t="s">
        <v>690</v>
      </c>
      <c r="C16" s="859" t="s">
        <v>465</v>
      </c>
      <c r="D16" s="859">
        <f>D14</f>
        <v>62</v>
      </c>
      <c r="E16" s="860"/>
      <c r="F16" s="861"/>
    </row>
    <row r="17" spans="1:6">
      <c r="A17" s="991"/>
      <c r="B17" s="852" t="s">
        <v>295</v>
      </c>
      <c r="C17" s="858"/>
      <c r="D17" s="859"/>
      <c r="E17" s="860"/>
      <c r="F17" s="861"/>
    </row>
    <row r="18" spans="1:6" ht="43.2">
      <c r="A18" s="991" t="s">
        <v>1144</v>
      </c>
      <c r="B18" s="863" t="s">
        <v>702</v>
      </c>
      <c r="C18" s="859" t="s">
        <v>465</v>
      </c>
      <c r="D18" s="859">
        <f>D16</f>
        <v>62</v>
      </c>
      <c r="E18" s="860"/>
      <c r="F18" s="861"/>
    </row>
    <row r="19" spans="1:6">
      <c r="A19" s="991"/>
      <c r="B19" s="852" t="s">
        <v>471</v>
      </c>
      <c r="C19" s="858"/>
      <c r="D19" s="859"/>
      <c r="E19" s="860"/>
      <c r="F19" s="861"/>
    </row>
    <row r="20" spans="1:6" ht="28.8">
      <c r="A20" s="991" t="s">
        <v>1145</v>
      </c>
      <c r="B20" s="863" t="s">
        <v>1092</v>
      </c>
      <c r="C20" s="859" t="s">
        <v>472</v>
      </c>
      <c r="D20" s="859">
        <f>CEILING(31.6,1)</f>
        <v>32</v>
      </c>
      <c r="E20" s="860"/>
      <c r="F20" s="861"/>
    </row>
    <row r="21" spans="1:6">
      <c r="A21" s="991"/>
      <c r="B21" s="852" t="s">
        <v>479</v>
      </c>
      <c r="C21" s="859"/>
      <c r="D21" s="859"/>
      <c r="E21" s="860"/>
      <c r="F21" s="861"/>
    </row>
    <row r="22" spans="1:6" s="1012" customFormat="1" ht="43.2">
      <c r="A22" s="915"/>
      <c r="B22" s="865" t="s">
        <v>1093</v>
      </c>
      <c r="C22" s="858"/>
      <c r="D22" s="860"/>
      <c r="E22" s="858"/>
      <c r="F22" s="864"/>
    </row>
    <row r="23" spans="1:6" s="1012" customFormat="1">
      <c r="A23" s="915" t="s">
        <v>1146</v>
      </c>
      <c r="B23" s="863" t="s">
        <v>1094</v>
      </c>
      <c r="C23" s="858" t="s">
        <v>287</v>
      </c>
      <c r="D23" s="860">
        <f>CEILING((32*3*1.15+(32/0.2+1)*0.5)*0.395,1)</f>
        <v>76</v>
      </c>
      <c r="E23" s="858"/>
      <c r="F23" s="864"/>
    </row>
    <row r="24" spans="1:6" s="1012" customFormat="1">
      <c r="A24" s="915" t="s">
        <v>1147</v>
      </c>
      <c r="B24" s="863" t="s">
        <v>1199</v>
      </c>
      <c r="C24" s="858" t="s">
        <v>287</v>
      </c>
      <c r="D24" s="860">
        <f>CEILING((32/0.2+1)*0.7*0.617,1)</f>
        <v>70</v>
      </c>
      <c r="E24" s="858"/>
      <c r="F24" s="864"/>
    </row>
    <row r="25" spans="1:6" s="1012" customFormat="1">
      <c r="A25" s="915" t="s">
        <v>1200</v>
      </c>
      <c r="B25" s="863" t="s">
        <v>1095</v>
      </c>
      <c r="C25" s="858" t="s">
        <v>287</v>
      </c>
      <c r="D25" s="860">
        <f>CEILING(32*4*1.15*0.888,1)</f>
        <v>131</v>
      </c>
      <c r="E25" s="858"/>
      <c r="F25" s="864"/>
    </row>
    <row r="26" spans="1:6" ht="28.8">
      <c r="A26" s="915" t="s">
        <v>1148</v>
      </c>
      <c r="B26" s="863" t="s">
        <v>480</v>
      </c>
      <c r="C26" s="859" t="s">
        <v>465</v>
      </c>
      <c r="D26" s="859">
        <f>D18</f>
        <v>62</v>
      </c>
      <c r="E26" s="860"/>
      <c r="F26" s="861"/>
    </row>
    <row r="27" spans="1:6">
      <c r="A27" s="991"/>
      <c r="B27" s="862" t="s">
        <v>481</v>
      </c>
      <c r="C27" s="858"/>
      <c r="D27" s="859"/>
      <c r="E27" s="860"/>
      <c r="F27" s="861"/>
    </row>
    <row r="28" spans="1:6" ht="28.8">
      <c r="A28" s="991"/>
      <c r="B28" s="865" t="s">
        <v>341</v>
      </c>
      <c r="C28" s="858"/>
      <c r="D28" s="859"/>
      <c r="E28" s="860"/>
      <c r="F28" s="861"/>
    </row>
    <row r="29" spans="1:6" ht="16.2">
      <c r="A29" s="991" t="s">
        <v>1149</v>
      </c>
      <c r="B29" s="863" t="s">
        <v>482</v>
      </c>
      <c r="C29" s="859" t="s">
        <v>689</v>
      </c>
      <c r="D29" s="859">
        <f>CEILING(D18*0.15,1)</f>
        <v>10</v>
      </c>
      <c r="E29" s="860"/>
      <c r="F29" s="861"/>
    </row>
    <row r="30" spans="1:6">
      <c r="A30" s="991" t="s">
        <v>1150</v>
      </c>
      <c r="B30" s="863" t="s">
        <v>1096</v>
      </c>
      <c r="C30" s="859" t="s">
        <v>1097</v>
      </c>
      <c r="D30" s="859">
        <f>CEILING((31.6)*0.25*0.4,1)</f>
        <v>4</v>
      </c>
      <c r="E30" s="860"/>
      <c r="F30" s="861"/>
    </row>
    <row r="31" spans="1:6">
      <c r="A31" s="991" t="s">
        <v>1151</v>
      </c>
      <c r="B31" s="863" t="s">
        <v>1098</v>
      </c>
      <c r="C31" s="859" t="s">
        <v>1097</v>
      </c>
      <c r="D31" s="859">
        <f>CEILING((31.6)*0.2*0.3,1)</f>
        <v>2</v>
      </c>
      <c r="E31" s="860"/>
      <c r="F31" s="861"/>
    </row>
    <row r="32" spans="1:6">
      <c r="A32" s="991"/>
      <c r="B32" s="546" t="s">
        <v>897</v>
      </c>
      <c r="C32" s="547"/>
      <c r="D32" s="547"/>
      <c r="E32" s="547"/>
      <c r="F32" s="576"/>
    </row>
    <row r="33" spans="1:198" ht="129.6">
      <c r="A33" s="548"/>
      <c r="B33" s="551" t="s">
        <v>898</v>
      </c>
      <c r="C33" s="547"/>
      <c r="D33" s="547"/>
      <c r="E33" s="547"/>
      <c r="F33" s="576"/>
    </row>
    <row r="34" spans="1:198" s="872" customFormat="1" ht="16.2">
      <c r="A34" s="991" t="s">
        <v>1372</v>
      </c>
      <c r="B34" s="863" t="s">
        <v>899</v>
      </c>
      <c r="C34" s="547" t="s">
        <v>500</v>
      </c>
      <c r="D34" s="547">
        <f>CEILING(31.6*1.2,1)</f>
        <v>38</v>
      </c>
      <c r="E34" s="547"/>
      <c r="F34" s="576"/>
      <c r="G34" s="871"/>
    </row>
    <row r="35" spans="1:198" s="872" customFormat="1">
      <c r="A35" s="993"/>
      <c r="B35" s="862" t="s">
        <v>668</v>
      </c>
      <c r="C35" s="868"/>
      <c r="D35" s="868"/>
      <c r="E35" s="869"/>
      <c r="F35" s="870"/>
      <c r="G35" s="871"/>
    </row>
    <row r="36" spans="1:198" s="872" customFormat="1">
      <c r="A36" s="917" t="s">
        <v>260</v>
      </c>
      <c r="B36" s="911" t="s">
        <v>13</v>
      </c>
      <c r="C36" s="912" t="s">
        <v>330</v>
      </c>
      <c r="D36" s="913" t="s">
        <v>331</v>
      </c>
      <c r="E36" s="914" t="s">
        <v>332</v>
      </c>
      <c r="F36" s="1013"/>
      <c r="G36" s="871"/>
    </row>
    <row r="37" spans="1:198" s="1012" customFormat="1">
      <c r="A37" s="933"/>
      <c r="B37" s="890"/>
      <c r="C37" s="877"/>
      <c r="D37" s="893"/>
      <c r="E37" s="878"/>
      <c r="F37" s="892"/>
    </row>
    <row r="38" spans="1:198" s="872" customFormat="1">
      <c r="A38" s="933">
        <v>5.2</v>
      </c>
      <c r="B38" s="885" t="s">
        <v>1099</v>
      </c>
      <c r="C38" s="874"/>
      <c r="D38" s="880"/>
      <c r="E38" s="875"/>
      <c r="F38" s="892"/>
    </row>
    <row r="39" spans="1:198" s="161" customFormat="1" ht="15.6">
      <c r="A39" s="545"/>
      <c r="B39" s="546"/>
      <c r="C39" s="547"/>
      <c r="D39" s="547"/>
      <c r="E39" s="547"/>
      <c r="F39" s="576"/>
      <c r="G39" s="159"/>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0"/>
      <c r="DB39" s="160"/>
      <c r="DC39" s="160"/>
      <c r="DD39" s="160"/>
      <c r="DE39" s="160"/>
      <c r="DF39" s="160"/>
      <c r="DG39" s="160"/>
      <c r="DH39" s="160"/>
      <c r="DI39" s="160"/>
      <c r="DJ39" s="160"/>
      <c r="DK39" s="160"/>
      <c r="DL39" s="160"/>
      <c r="DM39" s="160"/>
      <c r="DN39" s="160"/>
      <c r="DO39" s="160"/>
      <c r="DP39" s="160"/>
      <c r="DQ39" s="160"/>
      <c r="DR39" s="160"/>
      <c r="DS39" s="160"/>
      <c r="DT39" s="160"/>
      <c r="DU39" s="160"/>
      <c r="DV39" s="160"/>
      <c r="DW39" s="160"/>
      <c r="DX39" s="160"/>
      <c r="DY39" s="160"/>
      <c r="DZ39" s="160"/>
      <c r="EA39" s="160"/>
      <c r="EB39" s="160"/>
      <c r="EC39" s="160"/>
      <c r="ED39" s="160"/>
      <c r="EE39" s="160"/>
      <c r="EF39" s="160"/>
      <c r="EG39" s="160"/>
      <c r="EH39" s="160"/>
      <c r="EI39" s="160"/>
      <c r="EJ39" s="160"/>
      <c r="EK39" s="160"/>
      <c r="EL39" s="160"/>
      <c r="EM39" s="160"/>
      <c r="EN39" s="160"/>
      <c r="EO39" s="160"/>
      <c r="EP39" s="160"/>
      <c r="EQ39" s="160"/>
      <c r="ER39" s="160"/>
      <c r="ES39" s="160"/>
      <c r="ET39" s="160"/>
      <c r="EU39" s="160"/>
      <c r="EV39" s="160"/>
      <c r="EW39" s="160"/>
      <c r="EX39" s="160"/>
      <c r="EY39" s="160"/>
      <c r="EZ39" s="160"/>
      <c r="FA39" s="160"/>
      <c r="FB39" s="160"/>
      <c r="FC39" s="160"/>
      <c r="FD39" s="160"/>
      <c r="FE39" s="160"/>
      <c r="FF39" s="160"/>
      <c r="FG39" s="160"/>
      <c r="FH39" s="160"/>
      <c r="FI39" s="160"/>
      <c r="FJ39" s="160"/>
      <c r="FK39" s="160"/>
      <c r="FL39" s="160"/>
      <c r="FM39" s="160"/>
      <c r="FN39" s="160"/>
      <c r="FO39" s="160"/>
      <c r="FP39" s="160"/>
      <c r="FQ39" s="160"/>
      <c r="FR39" s="160"/>
      <c r="FS39" s="160"/>
      <c r="FT39" s="160"/>
      <c r="FU39" s="160"/>
      <c r="FV39" s="160"/>
      <c r="FW39" s="160"/>
      <c r="FX39" s="160"/>
      <c r="FY39" s="160"/>
      <c r="FZ39" s="160"/>
      <c r="GA39" s="160"/>
      <c r="GB39" s="160"/>
      <c r="GC39" s="160"/>
      <c r="GD39" s="160"/>
      <c r="GE39" s="160"/>
      <c r="GF39" s="160"/>
      <c r="GG39" s="160"/>
      <c r="GH39" s="160"/>
      <c r="GI39" s="160"/>
      <c r="GJ39" s="160"/>
      <c r="GK39" s="160"/>
      <c r="GL39" s="160"/>
      <c r="GM39" s="160"/>
      <c r="GN39" s="160"/>
      <c r="GO39" s="160"/>
      <c r="GP39" s="160"/>
    </row>
    <row r="40" spans="1:198" s="66" customFormat="1">
      <c r="A40" s="1169"/>
      <c r="B40" s="1170" t="s">
        <v>1100</v>
      </c>
      <c r="C40" s="1171"/>
      <c r="D40" s="1172"/>
      <c r="E40" s="1171"/>
      <c r="F40" s="1173"/>
    </row>
    <row r="41" spans="1:198" s="1178" customFormat="1">
      <c r="A41" s="1174" t="s">
        <v>1172</v>
      </c>
      <c r="B41" s="1062" t="s">
        <v>1101</v>
      </c>
      <c r="C41" s="1175" t="s">
        <v>282</v>
      </c>
      <c r="D41" s="1176">
        <f>CEILING((10.2+37.7+4.4)*0.2*0.4,1)</f>
        <v>5</v>
      </c>
      <c r="E41" s="1175"/>
      <c r="F41" s="1177"/>
    </row>
    <row r="42" spans="1:198" s="1178" customFormat="1">
      <c r="A42" s="1174"/>
      <c r="B42" s="1062" t="s">
        <v>1675</v>
      </c>
      <c r="C42" s="1175" t="s">
        <v>282</v>
      </c>
      <c r="D42" s="1179">
        <f>CEILING(74*0.15,1)</f>
        <v>12</v>
      </c>
      <c r="E42" s="1180"/>
      <c r="F42" s="1181"/>
    </row>
    <row r="43" spans="1:198" s="1178" customFormat="1">
      <c r="A43" s="1174"/>
      <c r="B43" s="1182" t="s">
        <v>1676</v>
      </c>
      <c r="C43" s="1175" t="s">
        <v>282</v>
      </c>
      <c r="D43" s="1179">
        <f>CEILING(11*0.4*0.4*3.3,1)</f>
        <v>6</v>
      </c>
      <c r="E43" s="1180"/>
      <c r="F43" s="1181"/>
    </row>
    <row r="44" spans="1:198" s="66" customFormat="1">
      <c r="A44" s="1169"/>
      <c r="B44" s="1170" t="s">
        <v>534</v>
      </c>
      <c r="C44" s="1171"/>
      <c r="D44" s="1172"/>
      <c r="E44" s="1171"/>
      <c r="F44" s="1173"/>
    </row>
    <row r="45" spans="1:198" s="66" customFormat="1">
      <c r="A45" s="1169"/>
      <c r="B45" s="1170" t="s">
        <v>535</v>
      </c>
      <c r="C45" s="1171"/>
      <c r="D45" s="1172"/>
      <c r="E45" s="1171"/>
      <c r="F45" s="1173"/>
    </row>
    <row r="46" spans="1:198" s="66" customFormat="1">
      <c r="A46" s="1169" t="s">
        <v>1173</v>
      </c>
      <c r="B46" s="1183" t="s">
        <v>1102</v>
      </c>
      <c r="C46" s="1171" t="s">
        <v>287</v>
      </c>
      <c r="D46" s="1048">
        <f>CEILING((31.2+9+6)/0.2*0.7*0.395,1)</f>
        <v>64</v>
      </c>
      <c r="E46" s="1171"/>
      <c r="F46" s="1173"/>
    </row>
    <row r="47" spans="1:198" s="66" customFormat="1">
      <c r="A47" s="1169" t="s">
        <v>1157</v>
      </c>
      <c r="B47" s="1183" t="s">
        <v>1103</v>
      </c>
      <c r="C47" s="1171" t="s">
        <v>287</v>
      </c>
      <c r="D47" s="1048">
        <f>CEILING((31.2+9+6)*4*1.15*0.888,1)</f>
        <v>189</v>
      </c>
      <c r="E47" s="1171"/>
      <c r="F47" s="1173"/>
    </row>
    <row r="48" spans="1:198" s="66" customFormat="1">
      <c r="A48" s="1169"/>
      <c r="B48" s="1184" t="s">
        <v>1104</v>
      </c>
      <c r="C48" s="1171"/>
      <c r="D48" s="1172"/>
      <c r="E48" s="1171"/>
      <c r="F48" s="1173"/>
    </row>
    <row r="49" spans="1:198" s="66" customFormat="1">
      <c r="A49" s="1169" t="s">
        <v>1158</v>
      </c>
      <c r="B49" s="1183" t="s">
        <v>1105</v>
      </c>
      <c r="C49" s="1171" t="s">
        <v>8</v>
      </c>
      <c r="D49" s="1048">
        <f>CEILING((31.2+9+6)*2*0.2,1)</f>
        <v>19</v>
      </c>
      <c r="E49" s="1171"/>
      <c r="F49" s="1173"/>
    </row>
    <row r="50" spans="1:198" s="66" customFormat="1">
      <c r="A50" s="1169"/>
      <c r="B50" s="1183" t="s">
        <v>1684</v>
      </c>
      <c r="C50" s="1171" t="s">
        <v>8</v>
      </c>
      <c r="D50" s="1048">
        <v>61</v>
      </c>
      <c r="E50" s="1171"/>
      <c r="F50" s="1173"/>
    </row>
    <row r="51" spans="1:198" s="1189" customFormat="1" ht="28.8">
      <c r="A51" s="1185"/>
      <c r="B51" s="862" t="s">
        <v>1687</v>
      </c>
      <c r="C51" s="1186"/>
      <c r="D51" s="1187"/>
      <c r="E51" s="1186"/>
      <c r="F51" s="1188"/>
    </row>
    <row r="52" spans="1:198" s="1189" customFormat="1">
      <c r="A52" s="1200"/>
      <c r="B52" s="1200"/>
      <c r="C52" s="1201"/>
      <c r="D52" s="1202"/>
      <c r="E52" s="1201"/>
      <c r="F52" s="1203"/>
    </row>
    <row r="53" spans="1:198" s="66" customFormat="1">
      <c r="A53" s="1204">
        <v>5.3</v>
      </c>
      <c r="B53" s="1184" t="s">
        <v>1107</v>
      </c>
      <c r="C53" s="1171"/>
      <c r="D53" s="1172"/>
      <c r="E53" s="1171"/>
      <c r="F53" s="1173"/>
    </row>
    <row r="54" spans="1:198" s="66" customFormat="1">
      <c r="A54" s="1169"/>
      <c r="B54" s="1170"/>
      <c r="C54" s="1171"/>
      <c r="D54" s="1172"/>
      <c r="E54" s="1171"/>
      <c r="F54" s="1173"/>
    </row>
    <row r="55" spans="1:198" s="66" customFormat="1" ht="43.2">
      <c r="A55" s="1169"/>
      <c r="B55" s="1196" t="s">
        <v>1680</v>
      </c>
      <c r="C55" s="1171"/>
      <c r="D55" s="1176"/>
      <c r="E55" s="1171"/>
      <c r="F55" s="1173"/>
    </row>
    <row r="56" spans="1:198" s="66" customFormat="1">
      <c r="A56" s="1169"/>
      <c r="B56" s="1197"/>
      <c r="C56" s="1171"/>
      <c r="D56" s="1172"/>
      <c r="E56" s="1171"/>
      <c r="F56" s="1173"/>
    </row>
    <row r="57" spans="1:198" s="66" customFormat="1" ht="14.25" customHeight="1">
      <c r="A57" s="1169" t="s">
        <v>768</v>
      </c>
      <c r="B57" s="1198" t="s">
        <v>1681</v>
      </c>
      <c r="C57" s="1171" t="s">
        <v>8</v>
      </c>
      <c r="D57" s="1199">
        <f>CEILING((31.6)*3,1)</f>
        <v>95</v>
      </c>
      <c r="E57" s="1171"/>
      <c r="F57" s="1173"/>
    </row>
    <row r="58" spans="1:198" s="66" customFormat="1">
      <c r="A58" s="1169" t="s">
        <v>1685</v>
      </c>
      <c r="B58" s="1170" t="s">
        <v>1109</v>
      </c>
      <c r="C58" s="1171"/>
      <c r="D58" s="1172"/>
      <c r="E58" s="1171"/>
      <c r="F58" s="1173"/>
    </row>
    <row r="59" spans="1:198" s="66" customFormat="1">
      <c r="A59" s="1169" t="s">
        <v>1686</v>
      </c>
      <c r="B59" s="1183" t="s">
        <v>1683</v>
      </c>
      <c r="C59" s="1171" t="s">
        <v>9</v>
      </c>
      <c r="D59" s="1199">
        <f>CEILING((31.6),1)</f>
        <v>32</v>
      </c>
      <c r="E59" s="1171"/>
      <c r="F59" s="1173"/>
    </row>
    <row r="60" spans="1:198" s="1012" customFormat="1" ht="17.399999999999999" customHeight="1">
      <c r="A60" s="939"/>
      <c r="B60" s="887"/>
      <c r="C60" s="874"/>
      <c r="D60" s="880"/>
      <c r="E60" s="875"/>
      <c r="F60" s="892"/>
    </row>
    <row r="61" spans="1:198" s="1017" customFormat="1" ht="28.8">
      <c r="A61" s="915"/>
      <c r="B61" s="862" t="s">
        <v>1111</v>
      </c>
      <c r="C61" s="924"/>
      <c r="D61" s="860"/>
      <c r="E61" s="858"/>
      <c r="F61" s="1014"/>
      <c r="G61" s="942"/>
      <c r="H61" s="1016"/>
      <c r="I61" s="1016"/>
      <c r="J61" s="1016"/>
      <c r="K61" s="1016"/>
      <c r="L61" s="1016"/>
      <c r="M61" s="1016"/>
      <c r="N61" s="1016"/>
      <c r="O61" s="1016"/>
      <c r="P61" s="1016"/>
      <c r="Q61" s="1016"/>
      <c r="R61" s="1016"/>
      <c r="S61" s="1016"/>
      <c r="T61" s="1016"/>
      <c r="U61" s="1016"/>
      <c r="V61" s="1016"/>
      <c r="W61" s="1016"/>
      <c r="X61" s="1016"/>
      <c r="Y61" s="1016"/>
      <c r="Z61" s="1016"/>
      <c r="AA61" s="1016"/>
      <c r="AB61" s="1016"/>
      <c r="AC61" s="1016"/>
      <c r="AD61" s="1016"/>
      <c r="AE61" s="1016"/>
      <c r="AF61" s="1016"/>
      <c r="AG61" s="1016"/>
      <c r="AH61" s="1016"/>
      <c r="AI61" s="1016"/>
      <c r="AJ61" s="1016"/>
      <c r="AK61" s="1016"/>
      <c r="AL61" s="1016"/>
      <c r="AM61" s="1016"/>
      <c r="AN61" s="1016"/>
      <c r="AO61" s="1016"/>
      <c r="AP61" s="1016"/>
      <c r="AQ61" s="1016"/>
      <c r="AR61" s="1016"/>
      <c r="AS61" s="1016"/>
      <c r="AT61" s="1016"/>
      <c r="AU61" s="1016"/>
      <c r="AV61" s="1016"/>
      <c r="AW61" s="1016"/>
      <c r="AX61" s="1016"/>
      <c r="AY61" s="1016"/>
      <c r="AZ61" s="1016"/>
      <c r="BA61" s="1016"/>
      <c r="BB61" s="1016"/>
      <c r="BC61" s="1016"/>
      <c r="BD61" s="1016"/>
      <c r="BE61" s="1016"/>
      <c r="BF61" s="1016"/>
      <c r="BG61" s="1016"/>
      <c r="BH61" s="1016"/>
      <c r="BI61" s="1016"/>
      <c r="BJ61" s="1016"/>
      <c r="BK61" s="1016"/>
      <c r="BL61" s="1016"/>
      <c r="BM61" s="1016"/>
      <c r="BN61" s="1016"/>
      <c r="BO61" s="1016"/>
      <c r="BP61" s="1016"/>
      <c r="BQ61" s="1016"/>
      <c r="BR61" s="1016"/>
      <c r="BS61" s="1016"/>
      <c r="BT61" s="1016"/>
      <c r="BU61" s="1016"/>
      <c r="BV61" s="1016"/>
      <c r="BW61" s="1016"/>
      <c r="BX61" s="1016"/>
      <c r="BY61" s="1016"/>
      <c r="BZ61" s="1016"/>
      <c r="CA61" s="1016"/>
      <c r="CB61" s="1016"/>
      <c r="CC61" s="1016"/>
      <c r="CD61" s="1016"/>
      <c r="CE61" s="1016"/>
      <c r="CF61" s="1016"/>
      <c r="CG61" s="1016"/>
      <c r="CH61" s="1016"/>
      <c r="CI61" s="1016"/>
      <c r="CJ61" s="1016"/>
      <c r="CK61" s="1016"/>
      <c r="CL61" s="1016"/>
      <c r="CM61" s="1016"/>
      <c r="CN61" s="1016"/>
      <c r="CO61" s="1016"/>
      <c r="CP61" s="1016"/>
      <c r="CQ61" s="1016"/>
      <c r="CR61" s="1016"/>
      <c r="CS61" s="1016"/>
      <c r="CT61" s="1016"/>
      <c r="CU61" s="1016"/>
      <c r="CV61" s="1016"/>
      <c r="CW61" s="1016"/>
      <c r="CX61" s="1016"/>
      <c r="CY61" s="1016"/>
      <c r="CZ61" s="1016"/>
      <c r="DA61" s="1016"/>
      <c r="DB61" s="1016"/>
      <c r="DC61" s="1016"/>
      <c r="DD61" s="1016"/>
      <c r="DE61" s="1016"/>
      <c r="DF61" s="1016"/>
      <c r="DG61" s="1016"/>
      <c r="DH61" s="1016"/>
      <c r="DI61" s="1016"/>
      <c r="DJ61" s="1016"/>
      <c r="DK61" s="1016"/>
      <c r="DL61" s="1016"/>
      <c r="DM61" s="1016"/>
      <c r="DN61" s="1016"/>
      <c r="DO61" s="1016"/>
      <c r="DP61" s="1016"/>
      <c r="DQ61" s="1016"/>
      <c r="DR61" s="1016"/>
      <c r="DS61" s="1016"/>
      <c r="DT61" s="1016"/>
      <c r="DU61" s="1016"/>
      <c r="DV61" s="1016"/>
      <c r="DW61" s="1016"/>
      <c r="DX61" s="1016"/>
      <c r="DY61" s="1016"/>
      <c r="DZ61" s="1016"/>
      <c r="EA61" s="1016"/>
      <c r="EB61" s="1016"/>
      <c r="EC61" s="1016"/>
      <c r="ED61" s="1016"/>
      <c r="EE61" s="1016"/>
      <c r="EF61" s="1016"/>
      <c r="EG61" s="1016"/>
      <c r="EH61" s="1016"/>
      <c r="EI61" s="1016"/>
      <c r="EJ61" s="1016"/>
      <c r="EK61" s="1016"/>
      <c r="EL61" s="1016"/>
      <c r="EM61" s="1016"/>
      <c r="EN61" s="1016"/>
      <c r="EO61" s="1016"/>
      <c r="EP61" s="1016"/>
      <c r="EQ61" s="1016"/>
      <c r="ER61" s="1016"/>
      <c r="ES61" s="1016"/>
      <c r="ET61" s="1016"/>
      <c r="EU61" s="1016"/>
      <c r="EV61" s="1016"/>
      <c r="EW61" s="1016"/>
      <c r="EX61" s="1016"/>
      <c r="EY61" s="1016"/>
      <c r="EZ61" s="1016"/>
      <c r="FA61" s="1016"/>
      <c r="FB61" s="1016"/>
      <c r="FC61" s="1016"/>
      <c r="FD61" s="1016"/>
      <c r="FE61" s="1016"/>
      <c r="FF61" s="1016"/>
      <c r="FG61" s="1016"/>
      <c r="FH61" s="1016"/>
      <c r="FI61" s="1016"/>
      <c r="FJ61" s="1016"/>
      <c r="FK61" s="1016"/>
      <c r="FL61" s="1016"/>
      <c r="FM61" s="1016"/>
      <c r="FN61" s="1016"/>
      <c r="FO61" s="1016"/>
      <c r="FP61" s="1016"/>
      <c r="FQ61" s="1016"/>
      <c r="FR61" s="1016"/>
      <c r="FS61" s="1016"/>
      <c r="FT61" s="1016"/>
      <c r="FU61" s="1016"/>
      <c r="FV61" s="1016"/>
      <c r="FW61" s="1016"/>
      <c r="FX61" s="1016"/>
      <c r="FY61" s="1016"/>
      <c r="FZ61" s="1016"/>
      <c r="GA61" s="1016"/>
      <c r="GB61" s="1016"/>
      <c r="GC61" s="1016"/>
      <c r="GD61" s="1016"/>
      <c r="GE61" s="1016"/>
      <c r="GF61" s="1016"/>
      <c r="GG61" s="1016"/>
      <c r="GH61" s="1016"/>
      <c r="GI61" s="1016"/>
      <c r="GJ61" s="1016"/>
      <c r="GK61" s="1016"/>
      <c r="GL61" s="1016"/>
      <c r="GM61" s="1016"/>
      <c r="GN61" s="1016"/>
      <c r="GO61" s="1016"/>
      <c r="GP61" s="1016"/>
    </row>
    <row r="62" spans="1:198" s="1020" customFormat="1">
      <c r="A62" s="915"/>
      <c r="B62" s="862"/>
      <c r="C62" s="924"/>
      <c r="D62" s="860"/>
      <c r="E62" s="858"/>
      <c r="F62" s="1014"/>
      <c r="G62" s="960"/>
      <c r="H62" s="1019"/>
      <c r="I62" s="1019"/>
      <c r="J62" s="1019"/>
      <c r="K62" s="1019"/>
      <c r="L62" s="1019"/>
      <c r="M62" s="1019"/>
      <c r="N62" s="1019"/>
      <c r="O62" s="1019"/>
      <c r="P62" s="1019"/>
      <c r="Q62" s="1019"/>
      <c r="R62" s="1019"/>
      <c r="S62" s="1019"/>
      <c r="T62" s="1019"/>
      <c r="U62" s="1019"/>
      <c r="V62" s="1019"/>
      <c r="W62" s="1019"/>
      <c r="X62" s="1019"/>
      <c r="Y62" s="1019"/>
      <c r="Z62" s="1019"/>
      <c r="AA62" s="1019"/>
      <c r="AB62" s="1019"/>
      <c r="AC62" s="1019"/>
      <c r="AD62" s="1019"/>
      <c r="AE62" s="1019"/>
      <c r="AF62" s="1019"/>
      <c r="AG62" s="1019"/>
      <c r="AH62" s="1019"/>
      <c r="AI62" s="1019"/>
      <c r="AJ62" s="1019"/>
      <c r="AK62" s="1019"/>
      <c r="AL62" s="1019"/>
      <c r="AM62" s="1019"/>
      <c r="AN62" s="1019"/>
      <c r="AO62" s="1019"/>
      <c r="AP62" s="1019"/>
      <c r="AQ62" s="1019"/>
      <c r="AR62" s="1019"/>
      <c r="AS62" s="1019"/>
      <c r="AT62" s="1019"/>
      <c r="AU62" s="1019"/>
      <c r="AV62" s="1019"/>
      <c r="AW62" s="1019"/>
      <c r="AX62" s="1019"/>
      <c r="AY62" s="1019"/>
      <c r="AZ62" s="1019"/>
      <c r="BA62" s="1019"/>
      <c r="BB62" s="1019"/>
      <c r="BC62" s="1019"/>
      <c r="BD62" s="1019"/>
      <c r="BE62" s="1019"/>
      <c r="BF62" s="1019"/>
      <c r="BG62" s="1019"/>
      <c r="BH62" s="1019"/>
      <c r="BI62" s="1019"/>
      <c r="BJ62" s="1019"/>
      <c r="BK62" s="1019"/>
      <c r="BL62" s="1019"/>
      <c r="BM62" s="1019"/>
      <c r="BN62" s="1019"/>
      <c r="BO62" s="1019"/>
      <c r="BP62" s="1019"/>
      <c r="BQ62" s="1019"/>
      <c r="BR62" s="1019"/>
      <c r="BS62" s="1019"/>
      <c r="BT62" s="1019"/>
      <c r="BU62" s="1019"/>
      <c r="BV62" s="1019"/>
      <c r="BW62" s="1019"/>
      <c r="BX62" s="1019"/>
      <c r="BY62" s="1019"/>
      <c r="BZ62" s="1019"/>
      <c r="CA62" s="1019"/>
      <c r="CB62" s="1019"/>
      <c r="CC62" s="1019"/>
      <c r="CD62" s="1019"/>
      <c r="CE62" s="1019"/>
      <c r="CF62" s="1019"/>
      <c r="CG62" s="1019"/>
      <c r="CH62" s="1019"/>
      <c r="CI62" s="1019"/>
      <c r="CJ62" s="1019"/>
      <c r="CK62" s="1019"/>
      <c r="CL62" s="1019"/>
      <c r="CM62" s="1019"/>
      <c r="CN62" s="1019"/>
      <c r="CO62" s="1019"/>
      <c r="CP62" s="1019"/>
      <c r="CQ62" s="1019"/>
      <c r="CR62" s="1019"/>
      <c r="CS62" s="1019"/>
      <c r="CT62" s="1019"/>
      <c r="CU62" s="1019"/>
      <c r="CV62" s="1019"/>
      <c r="CW62" s="1019"/>
      <c r="CX62" s="1019"/>
      <c r="CY62" s="1019"/>
      <c r="CZ62" s="1019"/>
      <c r="DA62" s="1019"/>
      <c r="DB62" s="1019"/>
      <c r="DC62" s="1019"/>
      <c r="DD62" s="1019"/>
      <c r="DE62" s="1019"/>
      <c r="DF62" s="1019"/>
      <c r="DG62" s="1019"/>
      <c r="DH62" s="1019"/>
      <c r="DI62" s="1019"/>
      <c r="DJ62" s="1019"/>
      <c r="DK62" s="1019"/>
      <c r="DL62" s="1019"/>
      <c r="DM62" s="1019"/>
      <c r="DN62" s="1019"/>
      <c r="DO62" s="1019"/>
      <c r="DP62" s="1019"/>
      <c r="DQ62" s="1019"/>
      <c r="DR62" s="1019"/>
      <c r="DS62" s="1019"/>
      <c r="DT62" s="1019"/>
      <c r="DU62" s="1019"/>
      <c r="DV62" s="1019"/>
      <c r="DW62" s="1019"/>
      <c r="DX62" s="1019"/>
      <c r="DY62" s="1019"/>
      <c r="DZ62" s="1019"/>
      <c r="EA62" s="1019"/>
      <c r="EB62" s="1019"/>
      <c r="EC62" s="1019"/>
      <c r="ED62" s="1019"/>
      <c r="EE62" s="1019"/>
      <c r="EF62" s="1019"/>
      <c r="EG62" s="1019"/>
      <c r="EH62" s="1019"/>
      <c r="EI62" s="1019"/>
      <c r="EJ62" s="1019"/>
      <c r="EK62" s="1019"/>
      <c r="EL62" s="1019"/>
      <c r="EM62" s="1019"/>
      <c r="EN62" s="1019"/>
      <c r="EO62" s="1019"/>
      <c r="EP62" s="1019"/>
      <c r="EQ62" s="1019"/>
      <c r="ER62" s="1019"/>
      <c r="ES62" s="1019"/>
      <c r="ET62" s="1019"/>
      <c r="EU62" s="1019"/>
      <c r="EV62" s="1019"/>
      <c r="EW62" s="1019"/>
      <c r="EX62" s="1019"/>
      <c r="EY62" s="1019"/>
      <c r="EZ62" s="1019"/>
      <c r="FA62" s="1019"/>
      <c r="FB62" s="1019"/>
      <c r="FC62" s="1019"/>
      <c r="FD62" s="1019"/>
      <c r="FE62" s="1019"/>
      <c r="FF62" s="1019"/>
      <c r="FG62" s="1019"/>
      <c r="FH62" s="1019"/>
      <c r="FI62" s="1019"/>
      <c r="FJ62" s="1019"/>
      <c r="FK62" s="1019"/>
      <c r="FL62" s="1019"/>
      <c r="FM62" s="1019"/>
      <c r="FN62" s="1019"/>
      <c r="FO62" s="1019"/>
      <c r="FP62" s="1019"/>
      <c r="FQ62" s="1019"/>
      <c r="FR62" s="1019"/>
      <c r="FS62" s="1019"/>
      <c r="FT62" s="1019"/>
      <c r="FU62" s="1019"/>
      <c r="FV62" s="1019"/>
      <c r="FW62" s="1019"/>
      <c r="FX62" s="1019"/>
      <c r="FY62" s="1019"/>
      <c r="FZ62" s="1019"/>
      <c r="GA62" s="1019"/>
      <c r="GB62" s="1019"/>
      <c r="GC62" s="1019"/>
      <c r="GD62" s="1019"/>
      <c r="GE62" s="1019"/>
      <c r="GF62" s="1019"/>
      <c r="GG62" s="1019"/>
      <c r="GH62" s="1019"/>
      <c r="GI62" s="1019"/>
      <c r="GJ62" s="1019"/>
      <c r="GK62" s="1019"/>
      <c r="GL62" s="1019"/>
      <c r="GM62" s="1019"/>
      <c r="GN62" s="1019"/>
      <c r="GO62" s="1019"/>
      <c r="GP62" s="1019"/>
    </row>
    <row r="63" spans="1:198" s="1022" customFormat="1">
      <c r="A63" s="994">
        <v>5.4</v>
      </c>
      <c r="B63" s="942" t="s">
        <v>1112</v>
      </c>
      <c r="C63" s="949"/>
      <c r="D63" s="949"/>
      <c r="E63" s="950"/>
      <c r="F63" s="1018"/>
      <c r="G63" s="966"/>
    </row>
    <row r="64" spans="1:198" s="1022" customFormat="1" ht="28.8">
      <c r="A64" s="995" t="s">
        <v>11</v>
      </c>
      <c r="B64" s="955" t="s">
        <v>607</v>
      </c>
      <c r="C64" s="956" t="s">
        <v>11</v>
      </c>
      <c r="D64" s="956"/>
      <c r="E64" s="956"/>
      <c r="F64" s="1021"/>
      <c r="G64" s="966"/>
    </row>
    <row r="65" spans="1:7" s="1022" customFormat="1" ht="28.8">
      <c r="A65" s="996" t="s">
        <v>769</v>
      </c>
      <c r="B65" s="960" t="s">
        <v>608</v>
      </c>
      <c r="C65" s="949" t="s">
        <v>8</v>
      </c>
      <c r="D65" s="941">
        <f>CEILING(76.96*1.15,1)</f>
        <v>89</v>
      </c>
      <c r="E65" s="950"/>
      <c r="F65" s="1018"/>
      <c r="G65" s="966"/>
    </row>
    <row r="66" spans="1:7" s="1022" customFormat="1">
      <c r="A66" s="996" t="s">
        <v>770</v>
      </c>
      <c r="B66" s="956" t="s">
        <v>692</v>
      </c>
      <c r="C66" s="956" t="s">
        <v>9</v>
      </c>
      <c r="D66" s="956">
        <f>CEILING((8.55+6.4)*7,1)</f>
        <v>105</v>
      </c>
      <c r="E66" s="956"/>
      <c r="F66" s="1018"/>
      <c r="G66" s="966"/>
    </row>
    <row r="67" spans="1:7" s="1022" customFormat="1">
      <c r="A67" s="996" t="s">
        <v>1159</v>
      </c>
      <c r="B67" s="956" t="s">
        <v>691</v>
      </c>
      <c r="C67" s="956" t="s">
        <v>9</v>
      </c>
      <c r="D67" s="956">
        <f>CEILING((9.35+1.85)*7,1)</f>
        <v>79</v>
      </c>
      <c r="E67" s="956"/>
      <c r="F67" s="1018"/>
      <c r="G67" s="966"/>
    </row>
    <row r="68" spans="1:7" s="1022" customFormat="1">
      <c r="A68" s="996" t="s">
        <v>1160</v>
      </c>
      <c r="B68" s="956" t="s">
        <v>327</v>
      </c>
      <c r="C68" s="956" t="s">
        <v>9</v>
      </c>
      <c r="D68" s="956">
        <f>CEILING(10.4*8,1)</f>
        <v>84</v>
      </c>
      <c r="E68" s="956"/>
      <c r="F68" s="1018"/>
      <c r="G68" s="966"/>
    </row>
    <row r="69" spans="1:7" s="1022" customFormat="1">
      <c r="A69" s="996" t="s">
        <v>1161</v>
      </c>
      <c r="B69" s="956" t="s">
        <v>347</v>
      </c>
      <c r="C69" s="956" t="s">
        <v>9</v>
      </c>
      <c r="D69" s="956">
        <f>CEILING(31.6*2,1)</f>
        <v>64</v>
      </c>
      <c r="E69" s="956"/>
      <c r="F69" s="1018"/>
      <c r="G69" s="966"/>
    </row>
    <row r="70" spans="1:7" s="1022" customFormat="1">
      <c r="A70" s="996" t="s">
        <v>1162</v>
      </c>
      <c r="B70" s="956" t="s">
        <v>609</v>
      </c>
      <c r="C70" s="956" t="s">
        <v>9</v>
      </c>
      <c r="D70" s="956">
        <f>CEILING(7*3*0.5,1)</f>
        <v>11</v>
      </c>
      <c r="E70" s="956"/>
      <c r="F70" s="1018"/>
      <c r="G70" s="966"/>
    </row>
    <row r="71" spans="1:7" s="1022" customFormat="1">
      <c r="A71" s="996" t="s">
        <v>1163</v>
      </c>
      <c r="B71" s="956" t="s">
        <v>502</v>
      </c>
      <c r="C71" s="956" t="s">
        <v>9</v>
      </c>
      <c r="D71" s="956">
        <v>11</v>
      </c>
      <c r="E71" s="956"/>
      <c r="F71" s="1018"/>
      <c r="G71" s="966"/>
    </row>
    <row r="72" spans="1:7" s="1022" customFormat="1">
      <c r="A72" s="995"/>
      <c r="B72" s="900"/>
      <c r="C72" s="956"/>
      <c r="D72" s="956"/>
      <c r="E72" s="956"/>
      <c r="F72" s="1018"/>
      <c r="G72" s="966"/>
    </row>
    <row r="73" spans="1:7" s="1022" customFormat="1">
      <c r="A73" s="995" t="s">
        <v>11</v>
      </c>
      <c r="B73" s="900" t="s">
        <v>525</v>
      </c>
      <c r="C73" s="956" t="s">
        <v>11</v>
      </c>
      <c r="D73" s="956" t="s">
        <v>11</v>
      </c>
      <c r="E73" s="956"/>
      <c r="F73" s="1023"/>
      <c r="G73" s="966"/>
    </row>
    <row r="74" spans="1:7" s="1022" customFormat="1">
      <c r="A74" s="995"/>
      <c r="B74" s="956" t="s">
        <v>526</v>
      </c>
      <c r="C74" s="956" t="s">
        <v>11</v>
      </c>
      <c r="D74" s="956" t="s">
        <v>11</v>
      </c>
      <c r="E74" s="956"/>
      <c r="F74" s="1023"/>
      <c r="G74" s="966"/>
    </row>
    <row r="75" spans="1:7" s="1022" customFormat="1">
      <c r="A75" s="995" t="s">
        <v>1164</v>
      </c>
      <c r="B75" s="956" t="s">
        <v>610</v>
      </c>
      <c r="C75" s="956" t="s">
        <v>8</v>
      </c>
      <c r="D75" s="956">
        <f>CEILING((76.96-60.16),1)</f>
        <v>17</v>
      </c>
      <c r="E75" s="956"/>
      <c r="F75" s="1023"/>
      <c r="G75" s="966"/>
    </row>
    <row r="76" spans="1:7" s="1022" customFormat="1">
      <c r="A76" s="995" t="s">
        <v>1165</v>
      </c>
      <c r="B76" s="956" t="s">
        <v>527</v>
      </c>
      <c r="C76" s="956" t="s">
        <v>9</v>
      </c>
      <c r="D76" s="956">
        <v>36</v>
      </c>
      <c r="E76" s="956"/>
      <c r="F76" s="1023"/>
      <c r="G76" s="966"/>
    </row>
    <row r="77" spans="1:7" s="1022" customFormat="1">
      <c r="A77" s="997" t="s">
        <v>11</v>
      </c>
      <c r="B77" s="955" t="s">
        <v>303</v>
      </c>
      <c r="C77" s="956" t="s">
        <v>11</v>
      </c>
      <c r="D77" s="956" t="s">
        <v>11</v>
      </c>
      <c r="E77" s="956"/>
      <c r="F77" s="1023"/>
      <c r="G77" s="966"/>
    </row>
    <row r="78" spans="1:7" s="1022" customFormat="1" ht="28.8">
      <c r="A78" s="997" t="s">
        <v>1166</v>
      </c>
      <c r="B78" s="956" t="s">
        <v>611</v>
      </c>
      <c r="C78" s="956" t="s">
        <v>8</v>
      </c>
      <c r="D78" s="956">
        <f>D75</f>
        <v>17</v>
      </c>
      <c r="E78" s="956"/>
      <c r="F78" s="1023"/>
      <c r="G78" s="966"/>
    </row>
    <row r="79" spans="1:7" s="1022" customFormat="1" ht="28.8">
      <c r="A79" s="997" t="s">
        <v>1167</v>
      </c>
      <c r="B79" s="956" t="s">
        <v>528</v>
      </c>
      <c r="C79" s="956" t="s">
        <v>9</v>
      </c>
      <c r="D79" s="956">
        <f>D76</f>
        <v>36</v>
      </c>
      <c r="E79" s="956"/>
      <c r="F79" s="1023"/>
      <c r="G79" s="966"/>
    </row>
    <row r="80" spans="1:7" s="1022" customFormat="1">
      <c r="A80" s="997" t="s">
        <v>11</v>
      </c>
      <c r="B80" s="900" t="s">
        <v>503</v>
      </c>
      <c r="C80" s="956" t="s">
        <v>11</v>
      </c>
      <c r="D80" s="956" t="s">
        <v>11</v>
      </c>
      <c r="E80" s="956"/>
      <c r="F80" s="1023"/>
      <c r="G80" s="966"/>
    </row>
    <row r="81" spans="1:198" s="1022" customFormat="1" ht="28.8">
      <c r="A81" s="997" t="s">
        <v>1168</v>
      </c>
      <c r="B81" s="956" t="s">
        <v>612</v>
      </c>
      <c r="C81" s="956" t="s">
        <v>9</v>
      </c>
      <c r="D81" s="956">
        <f>D79</f>
        <v>36</v>
      </c>
      <c r="E81" s="956"/>
      <c r="F81" s="1023"/>
      <c r="G81" s="966"/>
    </row>
    <row r="82" spans="1:198" s="1022" customFormat="1">
      <c r="A82" s="995" t="s">
        <v>11</v>
      </c>
      <c r="B82" s="900" t="s">
        <v>490</v>
      </c>
      <c r="C82" s="956" t="s">
        <v>11</v>
      </c>
      <c r="D82" s="956" t="s">
        <v>11</v>
      </c>
      <c r="E82" s="956"/>
      <c r="F82" s="1023"/>
      <c r="G82" s="966"/>
    </row>
    <row r="83" spans="1:198" s="1022" customFormat="1" ht="28.8">
      <c r="A83" s="995" t="s">
        <v>1169</v>
      </c>
      <c r="B83" s="956" t="s">
        <v>348</v>
      </c>
      <c r="C83" s="956" t="s">
        <v>9</v>
      </c>
      <c r="D83" s="956">
        <f>4*3</f>
        <v>12</v>
      </c>
      <c r="E83" s="956"/>
      <c r="F83" s="1023"/>
      <c r="G83" s="966"/>
    </row>
    <row r="84" spans="1:198" s="1022" customFormat="1">
      <c r="A84" s="995" t="s">
        <v>1201</v>
      </c>
      <c r="B84" s="956" t="s">
        <v>504</v>
      </c>
      <c r="C84" s="956" t="s">
        <v>305</v>
      </c>
      <c r="D84" s="956">
        <v>4</v>
      </c>
      <c r="E84" s="956"/>
      <c r="F84" s="1023"/>
      <c r="G84" s="966"/>
    </row>
    <row r="85" spans="1:198" s="1025" customFormat="1">
      <c r="A85" s="995" t="s">
        <v>1170</v>
      </c>
      <c r="B85" s="956" t="s">
        <v>505</v>
      </c>
      <c r="C85" s="956" t="s">
        <v>305</v>
      </c>
      <c r="D85" s="956">
        <f>D84</f>
        <v>4</v>
      </c>
      <c r="E85" s="956"/>
      <c r="F85" s="1023"/>
      <c r="G85" s="971"/>
    </row>
    <row r="86" spans="1:198" s="1025" customFormat="1" ht="28.8">
      <c r="A86" s="995" t="s">
        <v>1171</v>
      </c>
      <c r="B86" s="956" t="s">
        <v>1202</v>
      </c>
      <c r="C86" s="956" t="s">
        <v>9</v>
      </c>
      <c r="D86" s="956">
        <f>D81</f>
        <v>36</v>
      </c>
      <c r="E86" s="956"/>
      <c r="F86" s="1023"/>
      <c r="G86" s="971"/>
    </row>
    <row r="87" spans="1:198" s="1025" customFormat="1">
      <c r="A87" s="998"/>
      <c r="B87" s="900"/>
      <c r="C87" s="900"/>
      <c r="D87" s="900"/>
      <c r="E87" s="900"/>
      <c r="F87" s="1023"/>
      <c r="G87" s="971"/>
    </row>
    <row r="88" spans="1:198" s="1025" customFormat="1">
      <c r="A88" s="998"/>
      <c r="B88" s="900" t="s">
        <v>1113</v>
      </c>
      <c r="C88" s="900"/>
      <c r="D88" s="900"/>
      <c r="E88" s="900"/>
      <c r="F88" s="1024"/>
      <c r="G88" s="971"/>
    </row>
    <row r="89" spans="1:198" s="1020" customFormat="1">
      <c r="A89" s="998"/>
      <c r="B89" s="900"/>
      <c r="C89" s="900"/>
      <c r="D89" s="900"/>
      <c r="E89" s="900"/>
      <c r="F89" s="1024"/>
      <c r="G89" s="960"/>
      <c r="H89" s="1019"/>
      <c r="I89" s="1019"/>
      <c r="J89" s="1019"/>
      <c r="K89" s="1019"/>
      <c r="L89" s="1019"/>
      <c r="M89" s="1019"/>
      <c r="N89" s="1019"/>
      <c r="O89" s="1019"/>
      <c r="P89" s="1019"/>
      <c r="Q89" s="1019"/>
      <c r="R89" s="1019"/>
      <c r="S89" s="1019"/>
      <c r="T89" s="1019"/>
      <c r="U89" s="1019"/>
      <c r="V89" s="1019"/>
      <c r="W89" s="1019"/>
      <c r="X89" s="1019"/>
      <c r="Y89" s="1019"/>
      <c r="Z89" s="1019"/>
      <c r="AA89" s="1019"/>
      <c r="AB89" s="1019"/>
      <c r="AC89" s="1019"/>
      <c r="AD89" s="1019"/>
      <c r="AE89" s="1019"/>
      <c r="AF89" s="1019"/>
      <c r="AG89" s="1019"/>
      <c r="AH89" s="1019"/>
      <c r="AI89" s="1019"/>
      <c r="AJ89" s="1019"/>
      <c r="AK89" s="1019"/>
      <c r="AL89" s="1019"/>
      <c r="AM89" s="1019"/>
      <c r="AN89" s="1019"/>
      <c r="AO89" s="1019"/>
      <c r="AP89" s="1019"/>
      <c r="AQ89" s="1019"/>
      <c r="AR89" s="1019"/>
      <c r="AS89" s="1019"/>
      <c r="AT89" s="1019"/>
      <c r="AU89" s="1019"/>
      <c r="AV89" s="1019"/>
      <c r="AW89" s="1019"/>
      <c r="AX89" s="1019"/>
      <c r="AY89" s="1019"/>
      <c r="AZ89" s="1019"/>
      <c r="BA89" s="1019"/>
      <c r="BB89" s="1019"/>
      <c r="BC89" s="1019"/>
      <c r="BD89" s="1019"/>
      <c r="BE89" s="1019"/>
      <c r="BF89" s="1019"/>
      <c r="BG89" s="1019"/>
      <c r="BH89" s="1019"/>
      <c r="BI89" s="1019"/>
      <c r="BJ89" s="1019"/>
      <c r="BK89" s="1019"/>
      <c r="BL89" s="1019"/>
      <c r="BM89" s="1019"/>
      <c r="BN89" s="1019"/>
      <c r="BO89" s="1019"/>
      <c r="BP89" s="1019"/>
      <c r="BQ89" s="1019"/>
      <c r="BR89" s="1019"/>
      <c r="BS89" s="1019"/>
      <c r="BT89" s="1019"/>
      <c r="BU89" s="1019"/>
      <c r="BV89" s="1019"/>
      <c r="BW89" s="1019"/>
      <c r="BX89" s="1019"/>
      <c r="BY89" s="1019"/>
      <c r="BZ89" s="1019"/>
      <c r="CA89" s="1019"/>
      <c r="CB89" s="1019"/>
      <c r="CC89" s="1019"/>
      <c r="CD89" s="1019"/>
      <c r="CE89" s="1019"/>
      <c r="CF89" s="1019"/>
      <c r="CG89" s="1019"/>
      <c r="CH89" s="1019"/>
      <c r="CI89" s="1019"/>
      <c r="CJ89" s="1019"/>
      <c r="CK89" s="1019"/>
      <c r="CL89" s="1019"/>
      <c r="CM89" s="1019"/>
      <c r="CN89" s="1019"/>
      <c r="CO89" s="1019"/>
      <c r="CP89" s="1019"/>
      <c r="CQ89" s="1019"/>
      <c r="CR89" s="1019"/>
      <c r="CS89" s="1019"/>
      <c r="CT89" s="1019"/>
      <c r="CU89" s="1019"/>
      <c r="CV89" s="1019"/>
      <c r="CW89" s="1019"/>
      <c r="CX89" s="1019"/>
      <c r="CY89" s="1019"/>
      <c r="CZ89" s="1019"/>
      <c r="DA89" s="1019"/>
      <c r="DB89" s="1019"/>
      <c r="DC89" s="1019"/>
      <c r="DD89" s="1019"/>
      <c r="DE89" s="1019"/>
      <c r="DF89" s="1019"/>
      <c r="DG89" s="1019"/>
      <c r="DH89" s="1019"/>
      <c r="DI89" s="1019"/>
      <c r="DJ89" s="1019"/>
      <c r="DK89" s="1019"/>
      <c r="DL89" s="1019"/>
      <c r="DM89" s="1019"/>
      <c r="DN89" s="1019"/>
      <c r="DO89" s="1019"/>
      <c r="DP89" s="1019"/>
      <c r="DQ89" s="1019"/>
      <c r="DR89" s="1019"/>
      <c r="DS89" s="1019"/>
      <c r="DT89" s="1019"/>
      <c r="DU89" s="1019"/>
      <c r="DV89" s="1019"/>
      <c r="DW89" s="1019"/>
      <c r="DX89" s="1019"/>
      <c r="DY89" s="1019"/>
      <c r="DZ89" s="1019"/>
      <c r="EA89" s="1019"/>
      <c r="EB89" s="1019"/>
      <c r="EC89" s="1019"/>
      <c r="ED89" s="1019"/>
      <c r="EE89" s="1019"/>
      <c r="EF89" s="1019"/>
      <c r="EG89" s="1019"/>
      <c r="EH89" s="1019"/>
      <c r="EI89" s="1019"/>
      <c r="EJ89" s="1019"/>
      <c r="EK89" s="1019"/>
      <c r="EL89" s="1019"/>
      <c r="EM89" s="1019"/>
      <c r="EN89" s="1019"/>
      <c r="EO89" s="1019"/>
      <c r="EP89" s="1019"/>
      <c r="EQ89" s="1019"/>
      <c r="ER89" s="1019"/>
      <c r="ES89" s="1019"/>
      <c r="ET89" s="1019"/>
      <c r="EU89" s="1019"/>
      <c r="EV89" s="1019"/>
      <c r="EW89" s="1019"/>
      <c r="EX89" s="1019"/>
      <c r="EY89" s="1019"/>
      <c r="EZ89" s="1019"/>
      <c r="FA89" s="1019"/>
      <c r="FB89" s="1019"/>
      <c r="FC89" s="1019"/>
      <c r="FD89" s="1019"/>
      <c r="FE89" s="1019"/>
      <c r="FF89" s="1019"/>
      <c r="FG89" s="1019"/>
      <c r="FH89" s="1019"/>
      <c r="FI89" s="1019"/>
      <c r="FJ89" s="1019"/>
      <c r="FK89" s="1019"/>
      <c r="FL89" s="1019"/>
      <c r="FM89" s="1019"/>
      <c r="FN89" s="1019"/>
      <c r="FO89" s="1019"/>
      <c r="FP89" s="1019"/>
      <c r="FQ89" s="1019"/>
      <c r="FR89" s="1019"/>
      <c r="FS89" s="1019"/>
      <c r="FT89" s="1019"/>
      <c r="FU89" s="1019"/>
      <c r="FV89" s="1019"/>
      <c r="FW89" s="1019"/>
      <c r="FX89" s="1019"/>
      <c r="FY89" s="1019"/>
      <c r="FZ89" s="1019"/>
      <c r="GA89" s="1019"/>
      <c r="GB89" s="1019"/>
      <c r="GC89" s="1019"/>
      <c r="GD89" s="1019"/>
      <c r="GE89" s="1019"/>
      <c r="GF89" s="1019"/>
      <c r="GG89" s="1019"/>
      <c r="GH89" s="1019"/>
      <c r="GI89" s="1019"/>
      <c r="GJ89" s="1019"/>
      <c r="GK89" s="1019"/>
      <c r="GL89" s="1019"/>
      <c r="GM89" s="1019"/>
      <c r="GN89" s="1019"/>
      <c r="GO89" s="1019"/>
      <c r="GP89" s="1019"/>
    </row>
    <row r="90" spans="1:198" s="1010" customFormat="1">
      <c r="A90" s="983" t="s">
        <v>260</v>
      </c>
      <c r="B90" s="984" t="s">
        <v>13</v>
      </c>
      <c r="C90" s="985" t="s">
        <v>330</v>
      </c>
      <c r="D90" s="986" t="s">
        <v>331</v>
      </c>
      <c r="E90" s="987"/>
      <c r="F90" s="988"/>
    </row>
    <row r="91" spans="1:198" s="1022" customFormat="1">
      <c r="A91" s="999">
        <v>5.5</v>
      </c>
      <c r="B91" s="942" t="s">
        <v>1114</v>
      </c>
      <c r="C91" s="965"/>
      <c r="D91" s="965"/>
      <c r="E91" s="944"/>
      <c r="F91" s="1023"/>
      <c r="G91" s="966"/>
    </row>
    <row r="92" spans="1:198" s="1022" customFormat="1" ht="28.8">
      <c r="A92" s="1000" t="s">
        <v>1172</v>
      </c>
      <c r="B92" s="956" t="s">
        <v>710</v>
      </c>
      <c r="C92" s="966" t="s">
        <v>305</v>
      </c>
      <c r="D92" s="966">
        <v>2</v>
      </c>
      <c r="E92" s="966"/>
      <c r="F92" s="1023"/>
      <c r="G92" s="966"/>
    </row>
    <row r="93" spans="1:198" s="1022" customFormat="1" ht="28.8">
      <c r="A93" s="1000" t="s">
        <v>1173</v>
      </c>
      <c r="B93" s="956" t="s">
        <v>614</v>
      </c>
      <c r="C93" s="966" t="s">
        <v>9</v>
      </c>
      <c r="D93" s="966">
        <f>CEILING(6*D92,1)</f>
        <v>12</v>
      </c>
      <c r="E93" s="966"/>
      <c r="F93" s="1023"/>
      <c r="G93" s="966"/>
    </row>
    <row r="94" spans="1:198" s="1022" customFormat="1">
      <c r="A94" s="1000" t="s">
        <v>1157</v>
      </c>
      <c r="B94" s="956" t="s">
        <v>615</v>
      </c>
      <c r="C94" s="966" t="s">
        <v>9</v>
      </c>
      <c r="D94" s="966">
        <f>D93*2</f>
        <v>24</v>
      </c>
      <c r="E94" s="966"/>
      <c r="F94" s="1023"/>
      <c r="G94" s="966"/>
    </row>
    <row r="95" spans="1:198" s="1022" customFormat="1">
      <c r="A95" s="1000" t="s">
        <v>1158</v>
      </c>
      <c r="B95" s="956" t="s">
        <v>616</v>
      </c>
      <c r="C95" s="966" t="s">
        <v>9</v>
      </c>
      <c r="D95" s="966">
        <f>D94</f>
        <v>24</v>
      </c>
      <c r="E95" s="966"/>
      <c r="F95" s="1023"/>
      <c r="G95" s="966"/>
    </row>
    <row r="96" spans="1:198" s="1027" customFormat="1">
      <c r="A96" s="1000" t="s">
        <v>11</v>
      </c>
      <c r="B96" s="900" t="s">
        <v>617</v>
      </c>
      <c r="C96" s="966" t="s">
        <v>11</v>
      </c>
      <c r="D96" s="966" t="s">
        <v>11</v>
      </c>
      <c r="E96" s="966"/>
      <c r="F96" s="1023"/>
      <c r="G96" s="967"/>
    </row>
    <row r="97" spans="1:198" s="1022" customFormat="1" ht="28.8">
      <c r="A97" s="1000" t="s">
        <v>1174</v>
      </c>
      <c r="B97" s="956" t="s">
        <v>618</v>
      </c>
      <c r="C97" s="966" t="s">
        <v>11</v>
      </c>
      <c r="D97" s="966" t="s">
        <v>11</v>
      </c>
      <c r="E97" s="966"/>
      <c r="F97" s="1023"/>
      <c r="G97" s="966"/>
    </row>
    <row r="98" spans="1:198" s="1022" customFormat="1">
      <c r="A98" s="1000" t="s">
        <v>1175</v>
      </c>
      <c r="B98" s="956" t="s">
        <v>619</v>
      </c>
      <c r="C98" s="966" t="s">
        <v>305</v>
      </c>
      <c r="D98" s="966">
        <f>SUM(D92:D92)</f>
        <v>2</v>
      </c>
      <c r="E98" s="966"/>
      <c r="F98" s="1023"/>
      <c r="G98" s="966"/>
    </row>
    <row r="99" spans="1:198" s="1022" customFormat="1">
      <c r="A99" s="1000" t="s">
        <v>1176</v>
      </c>
      <c r="B99" s="894" t="s">
        <v>620</v>
      </c>
      <c r="C99" s="967" t="s">
        <v>621</v>
      </c>
      <c r="D99" s="967">
        <f>D92*2*3/2</f>
        <v>6</v>
      </c>
      <c r="E99" s="967"/>
      <c r="F99" s="1026"/>
      <c r="G99" s="966"/>
    </row>
    <row r="100" spans="1:198" s="1022" customFormat="1">
      <c r="A100" s="1000" t="s">
        <v>1177</v>
      </c>
      <c r="B100" s="956" t="s">
        <v>622</v>
      </c>
      <c r="C100" s="966" t="s">
        <v>305</v>
      </c>
      <c r="D100" s="966">
        <f>D98*2</f>
        <v>4</v>
      </c>
      <c r="E100" s="966"/>
      <c r="F100" s="1023"/>
      <c r="G100" s="966"/>
    </row>
    <row r="101" spans="1:198" s="1025" customFormat="1">
      <c r="A101" s="1000" t="s">
        <v>11</v>
      </c>
      <c r="B101" s="900" t="s">
        <v>623</v>
      </c>
      <c r="C101" s="966" t="s">
        <v>11</v>
      </c>
      <c r="D101" s="966" t="s">
        <v>11</v>
      </c>
      <c r="E101" s="966"/>
      <c r="F101" s="1023"/>
      <c r="G101" s="971"/>
    </row>
    <row r="102" spans="1:198" s="1025" customFormat="1" ht="28.8">
      <c r="A102" s="1000" t="s">
        <v>1178</v>
      </c>
      <c r="B102" s="956" t="s">
        <v>624</v>
      </c>
      <c r="C102" s="966" t="s">
        <v>329</v>
      </c>
      <c r="D102" s="966" t="s">
        <v>468</v>
      </c>
      <c r="E102" s="966"/>
      <c r="F102" s="1023"/>
      <c r="G102" s="971"/>
    </row>
    <row r="103" spans="1:198" s="1022" customFormat="1">
      <c r="A103" s="1000"/>
      <c r="B103" s="956"/>
      <c r="C103" s="966"/>
      <c r="D103" s="966"/>
      <c r="E103" s="966"/>
      <c r="F103" s="1023"/>
      <c r="G103" s="966"/>
    </row>
    <row r="104" spans="1:198" s="1022" customFormat="1">
      <c r="A104" s="1001"/>
      <c r="B104" s="955" t="s">
        <v>1115</v>
      </c>
      <c r="C104" s="971"/>
      <c r="D104" s="971"/>
      <c r="E104" s="971"/>
      <c r="F104" s="1024"/>
      <c r="G104" s="966"/>
    </row>
    <row r="105" spans="1:198" s="1017" customFormat="1">
      <c r="A105" s="1001"/>
      <c r="B105" s="955"/>
      <c r="C105" s="971"/>
      <c r="D105" s="971"/>
      <c r="E105" s="971"/>
      <c r="F105" s="1024"/>
      <c r="G105" s="942"/>
      <c r="H105" s="1016"/>
      <c r="I105" s="1016"/>
      <c r="J105" s="1016"/>
      <c r="K105" s="1016"/>
      <c r="L105" s="1016"/>
      <c r="M105" s="1016"/>
      <c r="N105" s="1016"/>
      <c r="O105" s="1016"/>
      <c r="P105" s="1016"/>
      <c r="Q105" s="1016"/>
      <c r="R105" s="1016"/>
      <c r="S105" s="1016"/>
      <c r="T105" s="1016"/>
      <c r="U105" s="1016"/>
      <c r="V105" s="1016"/>
      <c r="W105" s="1016"/>
      <c r="X105" s="1016"/>
      <c r="Y105" s="1016"/>
      <c r="Z105" s="1016"/>
      <c r="AA105" s="1016"/>
      <c r="AB105" s="1016"/>
      <c r="AC105" s="1016"/>
      <c r="AD105" s="1016"/>
      <c r="AE105" s="1016"/>
      <c r="AF105" s="1016"/>
      <c r="AG105" s="1016"/>
      <c r="AH105" s="1016"/>
      <c r="AI105" s="1016"/>
      <c r="AJ105" s="1016"/>
      <c r="AK105" s="1016"/>
      <c r="AL105" s="1016"/>
      <c r="AM105" s="1016"/>
      <c r="AN105" s="1016"/>
      <c r="AO105" s="1016"/>
      <c r="AP105" s="1016"/>
      <c r="AQ105" s="1016"/>
      <c r="AR105" s="1016"/>
      <c r="AS105" s="1016"/>
      <c r="AT105" s="1016"/>
      <c r="AU105" s="1016"/>
      <c r="AV105" s="1016"/>
      <c r="AW105" s="1016"/>
      <c r="AX105" s="1016"/>
      <c r="AY105" s="1016"/>
      <c r="AZ105" s="1016"/>
      <c r="BA105" s="1016"/>
      <c r="BB105" s="1016"/>
      <c r="BC105" s="1016"/>
      <c r="BD105" s="1016"/>
      <c r="BE105" s="1016"/>
      <c r="BF105" s="1016"/>
      <c r="BG105" s="1016"/>
      <c r="BH105" s="1016"/>
      <c r="BI105" s="1016"/>
      <c r="BJ105" s="1016"/>
      <c r="BK105" s="1016"/>
      <c r="BL105" s="1016"/>
      <c r="BM105" s="1016"/>
      <c r="BN105" s="1016"/>
      <c r="BO105" s="1016"/>
      <c r="BP105" s="1016"/>
      <c r="BQ105" s="1016"/>
      <c r="BR105" s="1016"/>
      <c r="BS105" s="1016"/>
      <c r="BT105" s="1016"/>
      <c r="BU105" s="1016"/>
      <c r="BV105" s="1016"/>
      <c r="BW105" s="1016"/>
      <c r="BX105" s="1016"/>
      <c r="BY105" s="1016"/>
      <c r="BZ105" s="1016"/>
      <c r="CA105" s="1016"/>
      <c r="CB105" s="1016"/>
      <c r="CC105" s="1016"/>
      <c r="CD105" s="1016"/>
      <c r="CE105" s="1016"/>
      <c r="CF105" s="1016"/>
      <c r="CG105" s="1016"/>
      <c r="CH105" s="1016"/>
      <c r="CI105" s="1016"/>
      <c r="CJ105" s="1016"/>
      <c r="CK105" s="1016"/>
      <c r="CL105" s="1016"/>
      <c r="CM105" s="1016"/>
      <c r="CN105" s="1016"/>
      <c r="CO105" s="1016"/>
      <c r="CP105" s="1016"/>
      <c r="CQ105" s="1016"/>
      <c r="CR105" s="1016"/>
      <c r="CS105" s="1016"/>
      <c r="CT105" s="1016"/>
      <c r="CU105" s="1016"/>
      <c r="CV105" s="1016"/>
      <c r="CW105" s="1016"/>
      <c r="CX105" s="1016"/>
      <c r="CY105" s="1016"/>
      <c r="CZ105" s="1016"/>
      <c r="DA105" s="1016"/>
      <c r="DB105" s="1016"/>
      <c r="DC105" s="1016"/>
      <c r="DD105" s="1016"/>
      <c r="DE105" s="1016"/>
      <c r="DF105" s="1016"/>
      <c r="DG105" s="1016"/>
      <c r="DH105" s="1016"/>
      <c r="DI105" s="1016"/>
      <c r="DJ105" s="1016"/>
      <c r="DK105" s="1016"/>
      <c r="DL105" s="1016"/>
      <c r="DM105" s="1016"/>
      <c r="DN105" s="1016"/>
      <c r="DO105" s="1016"/>
      <c r="DP105" s="1016"/>
      <c r="DQ105" s="1016"/>
      <c r="DR105" s="1016"/>
      <c r="DS105" s="1016"/>
      <c r="DT105" s="1016"/>
      <c r="DU105" s="1016"/>
      <c r="DV105" s="1016"/>
      <c r="DW105" s="1016"/>
      <c r="DX105" s="1016"/>
      <c r="DY105" s="1016"/>
      <c r="DZ105" s="1016"/>
      <c r="EA105" s="1016"/>
      <c r="EB105" s="1016"/>
      <c r="EC105" s="1016"/>
      <c r="ED105" s="1016"/>
      <c r="EE105" s="1016"/>
      <c r="EF105" s="1016"/>
      <c r="EG105" s="1016"/>
      <c r="EH105" s="1016"/>
      <c r="EI105" s="1016"/>
      <c r="EJ105" s="1016"/>
      <c r="EK105" s="1016"/>
      <c r="EL105" s="1016"/>
      <c r="EM105" s="1016"/>
      <c r="EN105" s="1016"/>
      <c r="EO105" s="1016"/>
      <c r="EP105" s="1016"/>
      <c r="EQ105" s="1016"/>
      <c r="ER105" s="1016"/>
      <c r="ES105" s="1016"/>
      <c r="ET105" s="1016"/>
      <c r="EU105" s="1016"/>
      <c r="EV105" s="1016"/>
      <c r="EW105" s="1016"/>
      <c r="EX105" s="1016"/>
      <c r="EY105" s="1016"/>
      <c r="EZ105" s="1016"/>
      <c r="FA105" s="1016"/>
      <c r="FB105" s="1016"/>
      <c r="FC105" s="1016"/>
      <c r="FD105" s="1016"/>
      <c r="FE105" s="1016"/>
      <c r="FF105" s="1016"/>
      <c r="FG105" s="1016"/>
      <c r="FH105" s="1016"/>
      <c r="FI105" s="1016"/>
      <c r="FJ105" s="1016"/>
      <c r="FK105" s="1016"/>
      <c r="FL105" s="1016"/>
      <c r="FM105" s="1016"/>
      <c r="FN105" s="1016"/>
      <c r="FO105" s="1016"/>
      <c r="FP105" s="1016"/>
      <c r="FQ105" s="1016"/>
      <c r="FR105" s="1016"/>
      <c r="FS105" s="1016"/>
      <c r="FT105" s="1016"/>
      <c r="FU105" s="1016"/>
      <c r="FV105" s="1016"/>
      <c r="FW105" s="1016"/>
      <c r="FX105" s="1016"/>
      <c r="FY105" s="1016"/>
      <c r="FZ105" s="1016"/>
      <c r="GA105" s="1016"/>
      <c r="GB105" s="1016"/>
      <c r="GC105" s="1016"/>
      <c r="GD105" s="1016"/>
      <c r="GE105" s="1016"/>
      <c r="GF105" s="1016"/>
      <c r="GG105" s="1016"/>
      <c r="GH105" s="1016"/>
      <c r="GI105" s="1016"/>
      <c r="GJ105" s="1016"/>
      <c r="GK105" s="1016"/>
      <c r="GL105" s="1016"/>
      <c r="GM105" s="1016"/>
      <c r="GN105" s="1016"/>
      <c r="GO105" s="1016"/>
      <c r="GP105" s="1016"/>
    </row>
    <row r="106" spans="1:198" s="1025" customFormat="1">
      <c r="A106" s="994">
        <v>5.6</v>
      </c>
      <c r="B106" s="942" t="s">
        <v>1116</v>
      </c>
      <c r="C106" s="943"/>
      <c r="D106" s="965"/>
      <c r="E106" s="944"/>
      <c r="F106" s="1023"/>
      <c r="G106" s="971"/>
    </row>
    <row r="107" spans="1:198" s="1025" customFormat="1" ht="28.8">
      <c r="A107" s="996" t="s">
        <v>1179</v>
      </c>
      <c r="B107" s="960" t="s">
        <v>625</v>
      </c>
      <c r="C107" s="949" t="s">
        <v>304</v>
      </c>
      <c r="D107" s="941">
        <v>7</v>
      </c>
      <c r="E107" s="950"/>
      <c r="F107" s="1023"/>
      <c r="G107" s="971"/>
    </row>
    <row r="108" spans="1:198" s="1025" customFormat="1">
      <c r="A108" s="915"/>
      <c r="B108" s="862"/>
      <c r="C108" s="924"/>
      <c r="D108" s="860"/>
      <c r="E108" s="858"/>
      <c r="F108" s="1014"/>
      <c r="G108" s="971"/>
    </row>
    <row r="109" spans="1:198" s="1025" customFormat="1">
      <c r="A109" s="1002"/>
      <c r="B109" s="972" t="s">
        <v>1117</v>
      </c>
      <c r="C109" s="901"/>
      <c r="D109" s="899"/>
      <c r="E109" s="899"/>
      <c r="F109" s="1024"/>
      <c r="G109" s="971"/>
    </row>
    <row r="110" spans="1:198" s="1025" customFormat="1">
      <c r="A110" s="1002"/>
      <c r="B110" s="972"/>
      <c r="C110" s="901"/>
      <c r="D110" s="899"/>
      <c r="E110" s="899"/>
      <c r="F110" s="1024"/>
      <c r="G110" s="971"/>
    </row>
    <row r="111" spans="1:198" s="1012" customFormat="1">
      <c r="A111" s="1002"/>
      <c r="B111" s="972"/>
      <c r="C111" s="901"/>
      <c r="D111" s="899"/>
      <c r="E111" s="899"/>
      <c r="F111" s="1024"/>
    </row>
    <row r="112" spans="1:198" s="1012" customFormat="1">
      <c r="A112" s="917" t="s">
        <v>260</v>
      </c>
      <c r="B112" s="911" t="s">
        <v>13</v>
      </c>
      <c r="C112" s="912" t="s">
        <v>330</v>
      </c>
      <c r="D112" s="913" t="s">
        <v>331</v>
      </c>
      <c r="E112" s="914" t="s">
        <v>332</v>
      </c>
      <c r="F112" s="1013"/>
    </row>
    <row r="113" spans="1:6" s="1012" customFormat="1">
      <c r="A113" s="1002"/>
      <c r="B113" s="899"/>
      <c r="C113" s="899"/>
      <c r="D113" s="899"/>
      <c r="E113" s="899"/>
      <c r="F113" s="899"/>
    </row>
    <row r="114" spans="1:6" s="1012" customFormat="1">
      <c r="A114" s="927">
        <v>5.7</v>
      </c>
      <c r="B114" s="852" t="s">
        <v>1118</v>
      </c>
      <c r="C114" s="858"/>
      <c r="D114" s="860"/>
      <c r="E114" s="858"/>
      <c r="F114" s="864"/>
    </row>
    <row r="115" spans="1:6" s="1012" customFormat="1">
      <c r="A115" s="915"/>
      <c r="B115" s="865" t="s">
        <v>299</v>
      </c>
      <c r="C115" s="858"/>
      <c r="D115" s="860"/>
      <c r="E115" s="858"/>
      <c r="F115" s="864"/>
    </row>
    <row r="116" spans="1:6" s="1012" customFormat="1">
      <c r="A116" s="915"/>
      <c r="B116" s="865" t="s">
        <v>1119</v>
      </c>
      <c r="C116" s="858"/>
      <c r="D116" s="860"/>
      <c r="E116" s="858"/>
      <c r="F116" s="864"/>
    </row>
    <row r="117" spans="1:6" s="1012" customFormat="1">
      <c r="A117" s="915" t="s">
        <v>1180</v>
      </c>
      <c r="B117" s="863" t="s">
        <v>300</v>
      </c>
      <c r="C117" s="858" t="s">
        <v>8</v>
      </c>
      <c r="D117" s="860">
        <f>32*2</f>
        <v>64</v>
      </c>
      <c r="E117" s="858"/>
      <c r="F117" s="864"/>
    </row>
    <row r="118" spans="1:6" s="1012" customFormat="1">
      <c r="A118" s="915"/>
      <c r="B118" s="865" t="s">
        <v>1120</v>
      </c>
      <c r="C118" s="858"/>
      <c r="D118" s="860"/>
      <c r="E118" s="858"/>
      <c r="F118" s="864"/>
    </row>
    <row r="119" spans="1:6" s="1012" customFormat="1">
      <c r="A119" s="915" t="s">
        <v>1181</v>
      </c>
      <c r="B119" s="863" t="s">
        <v>1121</v>
      </c>
      <c r="C119" s="858" t="s">
        <v>8</v>
      </c>
      <c r="D119" s="860">
        <f>30*2</f>
        <v>60</v>
      </c>
      <c r="E119" s="858"/>
      <c r="F119" s="864"/>
    </row>
    <row r="120" spans="1:6" s="1012" customFormat="1">
      <c r="A120" s="915"/>
      <c r="B120" s="852"/>
      <c r="C120" s="858"/>
      <c r="D120" s="860"/>
      <c r="E120" s="858"/>
      <c r="F120" s="864"/>
    </row>
    <row r="121" spans="1:6" s="1012" customFormat="1">
      <c r="A121" s="915"/>
      <c r="B121" s="852" t="s">
        <v>301</v>
      </c>
      <c r="C121" s="858"/>
      <c r="D121" s="860"/>
      <c r="E121" s="858"/>
      <c r="F121" s="864"/>
    </row>
    <row r="122" spans="1:6" s="1012" customFormat="1">
      <c r="A122" s="915"/>
      <c r="B122" s="865" t="s">
        <v>302</v>
      </c>
      <c r="C122" s="858"/>
      <c r="D122" s="860"/>
      <c r="E122" s="858"/>
      <c r="F122" s="864"/>
    </row>
    <row r="123" spans="1:6" s="1012" customFormat="1">
      <c r="A123" s="915" t="s">
        <v>1182</v>
      </c>
      <c r="B123" s="863" t="s">
        <v>1122</v>
      </c>
      <c r="C123" s="858" t="s">
        <v>8</v>
      </c>
      <c r="D123" s="860">
        <f>D13</f>
        <v>62</v>
      </c>
      <c r="E123" s="858"/>
      <c r="F123" s="864"/>
    </row>
    <row r="124" spans="1:6" s="872" customFormat="1">
      <c r="A124" s="915" t="s">
        <v>1183</v>
      </c>
      <c r="B124" s="863" t="s">
        <v>1123</v>
      </c>
      <c r="C124" s="858" t="s">
        <v>9</v>
      </c>
      <c r="D124" s="860">
        <f>30</f>
        <v>30</v>
      </c>
      <c r="E124" s="858"/>
      <c r="F124" s="864"/>
    </row>
    <row r="125" spans="1:6" s="872" customFormat="1">
      <c r="A125" s="915"/>
      <c r="B125" s="852" t="s">
        <v>1124</v>
      </c>
      <c r="C125" s="858"/>
      <c r="D125" s="860"/>
      <c r="E125" s="858"/>
      <c r="F125" s="864"/>
    </row>
    <row r="126" spans="1:6" s="872" customFormat="1">
      <c r="A126" s="915"/>
      <c r="B126" s="852" t="s">
        <v>1125</v>
      </c>
      <c r="C126" s="858"/>
      <c r="D126" s="860"/>
      <c r="E126" s="858"/>
      <c r="F126" s="864"/>
    </row>
    <row r="127" spans="1:6" s="1012" customFormat="1" ht="28.8">
      <c r="A127" s="915" t="s">
        <v>1184</v>
      </c>
      <c r="B127" s="863" t="s">
        <v>1126</v>
      </c>
      <c r="C127" s="858" t="s">
        <v>8</v>
      </c>
      <c r="D127" s="860">
        <f>D123</f>
        <v>62</v>
      </c>
      <c r="E127" s="860"/>
      <c r="F127" s="1028"/>
    </row>
    <row r="128" spans="1:6" s="1012" customFormat="1">
      <c r="A128" s="915" t="s">
        <v>1185</v>
      </c>
      <c r="B128" s="863" t="s">
        <v>1127</v>
      </c>
      <c r="C128" s="858" t="s">
        <v>9</v>
      </c>
      <c r="D128" s="860">
        <f>CEILING(D127/0.6,1)</f>
        <v>104</v>
      </c>
      <c r="E128" s="860"/>
      <c r="F128" s="1028"/>
    </row>
    <row r="129" spans="1:7" s="1012" customFormat="1">
      <c r="A129" s="915" t="s">
        <v>1186</v>
      </c>
      <c r="B129" s="863" t="s">
        <v>1128</v>
      </c>
      <c r="C129" s="858" t="s">
        <v>8</v>
      </c>
      <c r="D129" s="860">
        <f>D127</f>
        <v>62</v>
      </c>
      <c r="E129" s="860"/>
      <c r="F129" s="1028"/>
    </row>
    <row r="130" spans="1:7" s="1012" customFormat="1">
      <c r="A130" s="915"/>
      <c r="B130" s="852" t="s">
        <v>303</v>
      </c>
      <c r="C130" s="858"/>
      <c r="D130" s="860"/>
      <c r="E130" s="858"/>
      <c r="F130" s="864"/>
    </row>
    <row r="131" spans="1:7" s="1012" customFormat="1">
      <c r="A131" s="915"/>
      <c r="B131" s="852" t="s">
        <v>1129</v>
      </c>
      <c r="C131" s="858"/>
      <c r="D131" s="860"/>
      <c r="E131" s="858"/>
      <c r="F131" s="864"/>
    </row>
    <row r="132" spans="1:7" s="1012" customFormat="1">
      <c r="A132" s="915"/>
      <c r="B132" s="852" t="s">
        <v>1130</v>
      </c>
      <c r="C132" s="858"/>
      <c r="D132" s="860"/>
      <c r="E132" s="858"/>
      <c r="F132" s="864"/>
    </row>
    <row r="133" spans="1:7" s="1012" customFormat="1">
      <c r="A133" s="915" t="s">
        <v>1187</v>
      </c>
      <c r="B133" s="863" t="s">
        <v>1131</v>
      </c>
      <c r="C133" s="858" t="s">
        <v>8</v>
      </c>
      <c r="D133" s="860">
        <f>D117</f>
        <v>64</v>
      </c>
      <c r="E133" s="858"/>
      <c r="F133" s="864"/>
    </row>
    <row r="134" spans="1:7" s="1012" customFormat="1">
      <c r="A134" s="915"/>
      <c r="B134" s="852" t="s">
        <v>1132</v>
      </c>
      <c r="C134" s="858"/>
      <c r="D134" s="860"/>
      <c r="E134" s="858"/>
      <c r="F134" s="864"/>
    </row>
    <row r="135" spans="1:7" s="1025" customFormat="1">
      <c r="A135" s="915"/>
      <c r="B135" s="852" t="s">
        <v>1133</v>
      </c>
      <c r="C135" s="858"/>
      <c r="D135" s="860"/>
      <c r="E135" s="858"/>
      <c r="F135" s="864"/>
      <c r="G135" s="971"/>
    </row>
    <row r="136" spans="1:7" s="1025" customFormat="1">
      <c r="A136" s="915" t="s">
        <v>1188</v>
      </c>
      <c r="B136" s="863" t="s">
        <v>1134</v>
      </c>
      <c r="C136" s="858" t="s">
        <v>8</v>
      </c>
      <c r="D136" s="860">
        <f>D119</f>
        <v>60</v>
      </c>
      <c r="E136" s="858"/>
      <c r="F136" s="864"/>
      <c r="G136" s="971"/>
    </row>
    <row r="137" spans="1:7" s="1025" customFormat="1">
      <c r="A137" s="915"/>
      <c r="B137" s="863"/>
      <c r="C137" s="858"/>
      <c r="D137" s="930"/>
      <c r="E137" s="858"/>
      <c r="F137" s="864"/>
      <c r="G137" s="971"/>
    </row>
    <row r="138" spans="1:7" s="1025" customFormat="1">
      <c r="A138" s="1002"/>
      <c r="B138" s="972" t="s">
        <v>1203</v>
      </c>
      <c r="C138" s="899"/>
      <c r="D138" s="899"/>
      <c r="E138" s="899"/>
      <c r="F138" s="1029"/>
      <c r="G138" s="971"/>
    </row>
    <row r="139" spans="1:7" s="1025" customFormat="1">
      <c r="A139" s="1002"/>
      <c r="B139" s="899"/>
      <c r="C139" s="899"/>
      <c r="D139" s="899"/>
      <c r="E139" s="899"/>
      <c r="F139" s="899"/>
      <c r="G139" s="971"/>
    </row>
    <row r="140" spans="1:7" s="1025" customFormat="1">
      <c r="A140" s="1002"/>
      <c r="B140" s="899"/>
      <c r="C140" s="899"/>
      <c r="D140" s="899"/>
      <c r="E140" s="899"/>
      <c r="F140" s="899"/>
      <c r="G140" s="971"/>
    </row>
    <row r="141" spans="1:7" s="1025" customFormat="1">
      <c r="A141" s="1002"/>
      <c r="B141" s="899"/>
      <c r="C141" s="899"/>
      <c r="D141" s="899"/>
      <c r="E141" s="899"/>
      <c r="F141" s="899"/>
      <c r="G141" s="971"/>
    </row>
    <row r="142" spans="1:7" s="1025" customFormat="1">
      <c r="A142" s="1002"/>
      <c r="B142" s="899"/>
      <c r="C142" s="899"/>
      <c r="D142" s="899"/>
      <c r="E142" s="899"/>
      <c r="F142" s="899"/>
      <c r="G142" s="971"/>
    </row>
    <row r="143" spans="1:7" s="1025" customFormat="1">
      <c r="A143" s="1002"/>
      <c r="B143" s="899"/>
      <c r="C143" s="899"/>
      <c r="D143" s="899"/>
      <c r="E143" s="899"/>
      <c r="F143" s="899"/>
      <c r="G143" s="971"/>
    </row>
    <row r="144" spans="1:7" s="1025" customFormat="1">
      <c r="A144" s="1002"/>
      <c r="B144" s="899"/>
      <c r="C144" s="899"/>
      <c r="D144" s="899"/>
      <c r="E144" s="899"/>
      <c r="F144" s="899"/>
      <c r="G144" s="971"/>
    </row>
    <row r="145" spans="1:7" s="1025" customFormat="1">
      <c r="A145" s="1002"/>
      <c r="B145" s="899"/>
      <c r="C145" s="899"/>
      <c r="D145" s="899"/>
      <c r="E145" s="899"/>
      <c r="F145" s="899"/>
      <c r="G145" s="971"/>
    </row>
    <row r="146" spans="1:7" s="1025" customFormat="1">
      <c r="A146" s="1002"/>
      <c r="B146" s="899"/>
      <c r="C146" s="899"/>
      <c r="D146" s="899"/>
      <c r="E146" s="899"/>
      <c r="F146" s="899"/>
      <c r="G146" s="971"/>
    </row>
    <row r="147" spans="1:7" s="1025" customFormat="1">
      <c r="A147" s="1002"/>
      <c r="B147" s="899"/>
      <c r="C147" s="899"/>
      <c r="D147" s="899"/>
      <c r="E147" s="899"/>
      <c r="F147" s="899"/>
      <c r="G147" s="971"/>
    </row>
    <row r="148" spans="1:7" s="1025" customFormat="1">
      <c r="A148" s="1002"/>
      <c r="B148" s="899"/>
      <c r="C148" s="899"/>
      <c r="D148" s="899"/>
      <c r="E148" s="899"/>
      <c r="F148" s="899"/>
      <c r="G148" s="971"/>
    </row>
    <row r="149" spans="1:7" s="1025" customFormat="1">
      <c r="A149" s="1002"/>
      <c r="B149" s="899"/>
      <c r="C149" s="899"/>
      <c r="D149" s="899"/>
      <c r="E149" s="899"/>
      <c r="F149" s="899"/>
      <c r="G149" s="971"/>
    </row>
    <row r="150" spans="1:7" s="872" customFormat="1">
      <c r="A150" s="1002"/>
      <c r="B150" s="899"/>
      <c r="C150" s="899"/>
      <c r="D150" s="899"/>
      <c r="E150" s="899"/>
      <c r="F150" s="899"/>
      <c r="G150" s="871"/>
    </row>
    <row r="151" spans="1:7" s="872" customFormat="1">
      <c r="A151" s="1002"/>
      <c r="B151" s="899"/>
      <c r="C151" s="899"/>
      <c r="D151" s="899"/>
      <c r="E151" s="899"/>
      <c r="F151" s="899"/>
      <c r="G151" s="871"/>
    </row>
    <row r="152" spans="1:7" s="872" customFormat="1">
      <c r="A152" s="1002"/>
      <c r="B152" s="899"/>
      <c r="C152" s="899"/>
      <c r="D152" s="899"/>
      <c r="E152" s="899"/>
      <c r="F152" s="899"/>
      <c r="G152" s="871"/>
    </row>
    <row r="153" spans="1:7" s="1030" customFormat="1">
      <c r="A153" s="917" t="s">
        <v>260</v>
      </c>
      <c r="B153" s="911" t="s">
        <v>13</v>
      </c>
      <c r="C153" s="912" t="s">
        <v>330</v>
      </c>
      <c r="D153" s="913" t="s">
        <v>331</v>
      </c>
      <c r="E153" s="914" t="s">
        <v>332</v>
      </c>
      <c r="F153" s="1013"/>
      <c r="G153" s="979"/>
    </row>
    <row r="154" spans="1:7" s="1027" customFormat="1">
      <c r="A154" s="1003"/>
      <c r="B154" s="879"/>
      <c r="C154" s="880"/>
      <c r="D154" s="875"/>
      <c r="E154" s="874"/>
      <c r="F154" s="881"/>
      <c r="G154" s="967"/>
    </row>
    <row r="155" spans="1:7" s="1027" customFormat="1" ht="28.8">
      <c r="A155" s="1002">
        <v>5.8</v>
      </c>
      <c r="B155" s="873" t="s">
        <v>1135</v>
      </c>
      <c r="C155" s="874"/>
      <c r="D155" s="875"/>
      <c r="E155" s="874"/>
      <c r="F155" s="876"/>
      <c r="G155" s="967"/>
    </row>
    <row r="156" spans="1:7" s="1027" customFormat="1">
      <c r="A156" s="1004"/>
      <c r="B156" s="873" t="s">
        <v>310</v>
      </c>
      <c r="C156" s="877"/>
      <c r="D156" s="878"/>
      <c r="E156" s="877"/>
      <c r="F156" s="876"/>
      <c r="G156" s="967"/>
    </row>
    <row r="157" spans="1:7" s="1027" customFormat="1" ht="57.6">
      <c r="A157" s="1003"/>
      <c r="B157" s="879" t="s">
        <v>467</v>
      </c>
      <c r="C157" s="880"/>
      <c r="D157" s="875"/>
      <c r="E157" s="874"/>
      <c r="F157" s="881"/>
      <c r="G157" s="967"/>
    </row>
    <row r="158" spans="1:7" s="1027" customFormat="1">
      <c r="A158" s="1003" t="s">
        <v>1189</v>
      </c>
      <c r="B158" s="882" t="s">
        <v>704</v>
      </c>
      <c r="C158" s="880" t="s">
        <v>10</v>
      </c>
      <c r="D158" s="875">
        <v>6</v>
      </c>
      <c r="E158" s="874"/>
      <c r="F158" s="881"/>
      <c r="G158" s="967"/>
    </row>
    <row r="159" spans="1:7" s="1027" customFormat="1">
      <c r="A159" s="1003"/>
      <c r="B159" s="883" t="s">
        <v>311</v>
      </c>
      <c r="C159" s="880"/>
      <c r="D159" s="875"/>
      <c r="E159" s="874"/>
      <c r="F159" s="881"/>
      <c r="G159" s="967"/>
    </row>
    <row r="160" spans="1:7" s="1027" customFormat="1">
      <c r="A160" s="1003" t="s">
        <v>1190</v>
      </c>
      <c r="B160" s="882" t="s">
        <v>312</v>
      </c>
      <c r="C160" s="880" t="s">
        <v>304</v>
      </c>
      <c r="D160" s="875">
        <f>D158</f>
        <v>6</v>
      </c>
      <c r="E160" s="874"/>
      <c r="F160" s="881"/>
      <c r="G160" s="967"/>
    </row>
    <row r="161" spans="1:7" s="1027" customFormat="1">
      <c r="A161" s="1003"/>
      <c r="B161" s="873" t="s">
        <v>313</v>
      </c>
      <c r="C161" s="874"/>
      <c r="D161" s="875"/>
      <c r="E161" s="874"/>
      <c r="F161" s="881"/>
      <c r="G161" s="967"/>
    </row>
    <row r="162" spans="1:7" s="1027" customFormat="1" ht="100.8">
      <c r="A162" s="1003"/>
      <c r="B162" s="978" t="s">
        <v>631</v>
      </c>
      <c r="C162" s="880"/>
      <c r="D162" s="875"/>
      <c r="E162" s="874"/>
      <c r="F162" s="881"/>
      <c r="G162" s="967"/>
    </row>
    <row r="163" spans="1:7" s="1027" customFormat="1">
      <c r="A163" s="1003"/>
      <c r="B163" s="884" t="s">
        <v>314</v>
      </c>
      <c r="C163" s="880"/>
      <c r="D163" s="875"/>
      <c r="E163" s="874"/>
      <c r="F163" s="881"/>
      <c r="G163" s="967"/>
    </row>
    <row r="164" spans="1:7" s="1027" customFormat="1">
      <c r="A164" s="1003" t="s">
        <v>1191</v>
      </c>
      <c r="B164" s="884" t="s">
        <v>315</v>
      </c>
      <c r="C164" s="880" t="s">
        <v>304</v>
      </c>
      <c r="D164" s="875">
        <v>6</v>
      </c>
      <c r="E164" s="874"/>
      <c r="F164" s="881"/>
      <c r="G164" s="967"/>
    </row>
    <row r="165" spans="1:7" s="1027" customFormat="1">
      <c r="A165" s="1003"/>
      <c r="B165" s="883" t="s">
        <v>316</v>
      </c>
      <c r="C165" s="874"/>
      <c r="D165" s="875"/>
      <c r="E165" s="874"/>
      <c r="F165" s="881"/>
      <c r="G165" s="967"/>
    </row>
    <row r="166" spans="1:7" s="1027" customFormat="1" ht="72">
      <c r="A166" s="1003"/>
      <c r="B166" s="882" t="s">
        <v>705</v>
      </c>
      <c r="C166" s="880"/>
      <c r="D166" s="875"/>
      <c r="E166" s="874"/>
      <c r="F166" s="881"/>
      <c r="G166" s="967"/>
    </row>
    <row r="167" spans="1:7" s="1027" customFormat="1">
      <c r="A167" s="1003" t="s">
        <v>1192</v>
      </c>
      <c r="B167" s="884" t="s">
        <v>317</v>
      </c>
      <c r="C167" s="880" t="s">
        <v>318</v>
      </c>
      <c r="D167" s="875">
        <f>35*3</f>
        <v>105</v>
      </c>
      <c r="E167" s="874"/>
      <c r="F167" s="881"/>
      <c r="G167" s="967"/>
    </row>
    <row r="168" spans="1:7" s="1027" customFormat="1" ht="43.2">
      <c r="A168" s="939"/>
      <c r="B168" s="885" t="s">
        <v>706</v>
      </c>
      <c r="C168" s="886"/>
      <c r="D168" s="875"/>
      <c r="E168" s="874"/>
      <c r="F168" s="881"/>
      <c r="G168" s="967"/>
    </row>
    <row r="169" spans="1:7" s="1015" customFormat="1">
      <c r="A169" s="939" t="s">
        <v>1193</v>
      </c>
      <c r="B169" s="887" t="s">
        <v>319</v>
      </c>
      <c r="C169" s="886" t="s">
        <v>320</v>
      </c>
      <c r="D169" s="875">
        <v>3</v>
      </c>
      <c r="E169" s="874"/>
      <c r="F169" s="881"/>
      <c r="G169" s="979"/>
    </row>
    <row r="170" spans="1:7" s="1012" customFormat="1" ht="43.2">
      <c r="A170" s="939"/>
      <c r="B170" s="888" t="s">
        <v>707</v>
      </c>
      <c r="C170" s="880"/>
      <c r="D170" s="875"/>
      <c r="E170" s="874"/>
      <c r="F170" s="881"/>
      <c r="G170" s="967"/>
    </row>
    <row r="171" spans="1:7" s="1015" customFormat="1" ht="72">
      <c r="A171" s="939" t="s">
        <v>1194</v>
      </c>
      <c r="B171" s="887" t="s">
        <v>632</v>
      </c>
      <c r="C171" s="886" t="s">
        <v>633</v>
      </c>
      <c r="D171" s="875"/>
      <c r="E171" s="874"/>
      <c r="F171" s="881"/>
      <c r="G171" s="979"/>
    </row>
    <row r="172" spans="1:7" s="1015" customFormat="1">
      <c r="A172" s="933"/>
      <c r="B172" s="979" t="s">
        <v>1136</v>
      </c>
      <c r="C172" s="889"/>
      <c r="D172" s="878"/>
      <c r="E172" s="877"/>
      <c r="F172" s="876"/>
      <c r="G172" s="979"/>
    </row>
    <row r="173" spans="1:7" s="1015" customFormat="1" ht="43.2">
      <c r="A173" s="939" t="s">
        <v>1195</v>
      </c>
      <c r="B173" s="887" t="s">
        <v>1717</v>
      </c>
      <c r="C173" s="886" t="s">
        <v>329</v>
      </c>
      <c r="D173" s="875" t="s">
        <v>468</v>
      </c>
      <c r="E173" s="874"/>
      <c r="F173" s="881"/>
      <c r="G173" s="979"/>
    </row>
    <row r="174" spans="1:7">
      <c r="A174" s="933"/>
      <c r="B174" s="890" t="s">
        <v>694</v>
      </c>
      <c r="C174" s="889"/>
      <c r="D174" s="878"/>
      <c r="E174" s="877"/>
      <c r="F174" s="891"/>
      <c r="G174" s="906"/>
    </row>
    <row r="175" spans="1:7">
      <c r="A175" s="933"/>
      <c r="B175" s="890"/>
      <c r="C175" s="889"/>
      <c r="D175" s="878"/>
      <c r="E175" s="877"/>
      <c r="F175" s="891"/>
      <c r="G175" s="906"/>
    </row>
    <row r="176" spans="1:7" s="1031" customFormat="1">
      <c r="A176" s="933">
        <v>5.9</v>
      </c>
      <c r="B176" s="885" t="s">
        <v>1137</v>
      </c>
      <c r="C176" s="874"/>
      <c r="D176" s="880"/>
      <c r="E176" s="875"/>
      <c r="F176" s="892"/>
      <c r="G176" s="905"/>
    </row>
    <row r="177" spans="1:7" s="1031" customFormat="1" ht="28.8">
      <c r="A177" s="939" t="s">
        <v>1196</v>
      </c>
      <c r="B177" s="887" t="s">
        <v>486</v>
      </c>
      <c r="C177" s="874" t="s">
        <v>329</v>
      </c>
      <c r="D177" s="880" t="s">
        <v>468</v>
      </c>
      <c r="E177" s="875"/>
      <c r="F177" s="881"/>
      <c r="G177" s="905"/>
    </row>
    <row r="178" spans="1:7">
      <c r="A178" s="933"/>
      <c r="B178" s="890" t="s">
        <v>695</v>
      </c>
      <c r="C178" s="877"/>
      <c r="D178" s="893"/>
      <c r="E178" s="878"/>
      <c r="F178" s="892"/>
      <c r="G178" s="906"/>
    </row>
    <row r="179" spans="1:7">
      <c r="A179" s="933"/>
      <c r="B179" s="890"/>
      <c r="C179" s="877"/>
      <c r="D179" s="893"/>
      <c r="E179" s="878"/>
      <c r="F179" s="892"/>
      <c r="G179" s="906"/>
    </row>
    <row r="180" spans="1:7">
      <c r="A180" s="917" t="s">
        <v>260</v>
      </c>
      <c r="B180" s="911" t="s">
        <v>13</v>
      </c>
      <c r="C180" s="912" t="s">
        <v>330</v>
      </c>
      <c r="D180" s="913" t="s">
        <v>331</v>
      </c>
      <c r="E180" s="914"/>
      <c r="F180" s="1013"/>
      <c r="G180" s="906"/>
    </row>
    <row r="181" spans="1:7" s="1031" customFormat="1">
      <c r="A181" s="939"/>
      <c r="B181" s="887"/>
      <c r="C181" s="874"/>
      <c r="D181" s="880"/>
      <c r="E181" s="875"/>
      <c r="F181" s="892"/>
      <c r="G181" s="905"/>
    </row>
    <row r="182" spans="1:7" s="1031" customFormat="1">
      <c r="A182" s="1005">
        <v>5.0999999999999996</v>
      </c>
      <c r="B182" s="885" t="s">
        <v>1138</v>
      </c>
      <c r="C182" s="874"/>
      <c r="D182" s="880"/>
      <c r="E182" s="875"/>
      <c r="F182" s="892"/>
      <c r="G182" s="905"/>
    </row>
    <row r="183" spans="1:7" s="1031" customFormat="1" ht="158.4">
      <c r="A183" s="939" t="s">
        <v>1152</v>
      </c>
      <c r="B183" s="887" t="s">
        <v>1139</v>
      </c>
      <c r="C183" s="874" t="s">
        <v>469</v>
      </c>
      <c r="D183" s="880" t="s">
        <v>468</v>
      </c>
      <c r="E183" s="875"/>
      <c r="F183" s="898"/>
      <c r="G183" s="905"/>
    </row>
    <row r="184" spans="1:7" ht="16.5" customHeight="1">
      <c r="A184" s="933"/>
      <c r="B184" s="895" t="s">
        <v>696</v>
      </c>
      <c r="C184" s="877"/>
      <c r="D184" s="893"/>
      <c r="E184" s="878"/>
      <c r="F184" s="892"/>
      <c r="G184" s="906"/>
    </row>
    <row r="185" spans="1:7">
      <c r="A185" s="933"/>
      <c r="B185" s="895"/>
      <c r="C185" s="877"/>
      <c r="D185" s="893"/>
      <c r="E185" s="878"/>
      <c r="F185" s="892"/>
      <c r="G185" s="906"/>
    </row>
    <row r="186" spans="1:7">
      <c r="A186" s="933"/>
      <c r="B186" s="895"/>
      <c r="C186" s="877"/>
      <c r="D186" s="893"/>
      <c r="E186" s="878"/>
      <c r="F186" s="892"/>
      <c r="G186" s="906"/>
    </row>
    <row r="187" spans="1:7">
      <c r="A187" s="939"/>
      <c r="B187" s="894"/>
      <c r="C187" s="874"/>
      <c r="D187" s="880"/>
      <c r="E187" s="875"/>
      <c r="F187" s="892"/>
      <c r="G187" s="906"/>
    </row>
    <row r="188" spans="1:7">
      <c r="A188" s="1006">
        <v>5.1100000000000003</v>
      </c>
      <c r="B188" s="885" t="s">
        <v>1140</v>
      </c>
      <c r="C188" s="896"/>
      <c r="D188" s="897"/>
      <c r="E188" s="897"/>
      <c r="F188" s="898"/>
      <c r="G188" s="906"/>
    </row>
    <row r="189" spans="1:7">
      <c r="A189" s="1007" t="s">
        <v>1153</v>
      </c>
      <c r="B189" s="887" t="s">
        <v>487</v>
      </c>
      <c r="C189" s="896" t="s">
        <v>350</v>
      </c>
      <c r="D189" s="897">
        <v>11</v>
      </c>
      <c r="E189" s="897"/>
      <c r="F189" s="898"/>
      <c r="G189" s="906"/>
    </row>
    <row r="190" spans="1:7">
      <c r="A190" s="1007" t="s">
        <v>1154</v>
      </c>
      <c r="B190" s="887" t="s">
        <v>708</v>
      </c>
      <c r="C190" s="896" t="s">
        <v>350</v>
      </c>
      <c r="D190" s="897">
        <v>7</v>
      </c>
      <c r="E190" s="897"/>
      <c r="F190" s="898"/>
      <c r="G190" s="906"/>
    </row>
    <row r="191" spans="1:7">
      <c r="A191" s="1007" t="s">
        <v>1155</v>
      </c>
      <c r="B191" s="887" t="s">
        <v>411</v>
      </c>
      <c r="C191" s="896" t="s">
        <v>352</v>
      </c>
      <c r="D191" s="897">
        <v>4</v>
      </c>
      <c r="E191" s="897"/>
      <c r="F191" s="898"/>
      <c r="G191" s="906"/>
    </row>
    <row r="192" spans="1:7">
      <c r="A192" s="1007" t="s">
        <v>1156</v>
      </c>
      <c r="B192" s="887" t="s">
        <v>412</v>
      </c>
      <c r="C192" s="896" t="s">
        <v>350</v>
      </c>
      <c r="D192" s="897">
        <v>1</v>
      </c>
      <c r="E192" s="897"/>
      <c r="F192" s="898"/>
      <c r="G192" s="906"/>
    </row>
    <row r="193" spans="1:7">
      <c r="A193" s="1002"/>
      <c r="B193" s="900" t="s">
        <v>697</v>
      </c>
      <c r="C193" s="901"/>
      <c r="D193" s="902"/>
      <c r="E193" s="903"/>
      <c r="F193" s="904"/>
      <c r="G193" s="906"/>
    </row>
    <row r="194" spans="1:7">
      <c r="A194" s="1002"/>
      <c r="B194" s="900"/>
      <c r="C194" s="901"/>
      <c r="D194" s="902"/>
      <c r="E194" s="903"/>
      <c r="F194" s="904"/>
      <c r="G194" s="906"/>
    </row>
    <row r="195" spans="1:7">
      <c r="A195" s="1002"/>
      <c r="B195" s="900"/>
      <c r="C195" s="901"/>
      <c r="D195" s="902"/>
      <c r="E195" s="903"/>
      <c r="F195" s="904"/>
      <c r="G195" s="906"/>
    </row>
    <row r="196" spans="1:7">
      <c r="A196" s="1002"/>
      <c r="B196" s="900"/>
      <c r="C196" s="901"/>
      <c r="D196" s="902"/>
      <c r="E196" s="903"/>
      <c r="F196" s="904"/>
      <c r="G196" s="906"/>
    </row>
    <row r="197" spans="1:7">
      <c r="A197" s="939"/>
      <c r="B197" s="905" t="s">
        <v>669</v>
      </c>
      <c r="C197" s="906"/>
      <c r="D197" s="906"/>
      <c r="E197" s="906"/>
      <c r="F197" s="907"/>
      <c r="G197" s="906"/>
    </row>
    <row r="198" spans="1:7">
      <c r="A198" s="939">
        <v>5.0999999999999996</v>
      </c>
      <c r="B198" s="906" t="str">
        <f>B7</f>
        <v>ELEMENT NO. 1 : SUB-STRUCTURES (all provisional)</v>
      </c>
      <c r="C198" s="906"/>
      <c r="D198" s="906"/>
      <c r="E198" s="906"/>
      <c r="F198" s="907"/>
      <c r="G198" s="906"/>
    </row>
    <row r="199" spans="1:7">
      <c r="A199" s="939">
        <v>5.2</v>
      </c>
      <c r="B199" s="906" t="str">
        <f>B38</f>
        <v>ELEMENT NO. 2: SUPER STRUCTURE CONCRETE</v>
      </c>
      <c r="C199" s="906"/>
      <c r="D199" s="906"/>
      <c r="E199" s="906"/>
      <c r="F199" s="907"/>
      <c r="G199" s="906"/>
    </row>
    <row r="200" spans="1:7">
      <c r="A200" s="939">
        <v>5.3</v>
      </c>
      <c r="B200" s="906" t="str">
        <f>B53</f>
        <v>ELEMENT NO. 3 SUPERSTRUCTURE WALLING</v>
      </c>
      <c r="C200" s="906"/>
      <c r="D200" s="906"/>
      <c r="E200" s="906"/>
      <c r="F200" s="907"/>
      <c r="G200" s="906"/>
    </row>
    <row r="201" spans="1:7">
      <c r="A201" s="939">
        <v>5.4</v>
      </c>
      <c r="B201" s="906" t="str">
        <f>B63</f>
        <v>ELEMENT NO. 4 - ROOFING</v>
      </c>
      <c r="C201" s="906"/>
      <c r="D201" s="906"/>
      <c r="E201" s="906"/>
      <c r="F201" s="907"/>
      <c r="G201" s="906"/>
    </row>
    <row r="202" spans="1:7">
      <c r="A202" s="939">
        <v>5.5</v>
      </c>
      <c r="B202" s="908" t="str">
        <f>B91</f>
        <v>ELEMENT NO. 5: DOORS</v>
      </c>
      <c r="C202" s="906"/>
      <c r="D202" s="906"/>
      <c r="E202" s="906"/>
      <c r="F202" s="907"/>
      <c r="G202" s="906"/>
    </row>
    <row r="203" spans="1:7">
      <c r="A203" s="939">
        <v>5.6</v>
      </c>
      <c r="B203" s="906" t="str">
        <f>B106</f>
        <v>ELEMENT NO. 6: WINDOWS</v>
      </c>
      <c r="C203" s="906"/>
      <c r="D203" s="906"/>
      <c r="E203" s="906"/>
      <c r="F203" s="907"/>
      <c r="G203" s="906"/>
    </row>
    <row r="204" spans="1:7">
      <c r="A204" s="939">
        <v>5.7</v>
      </c>
      <c r="B204" s="906" t="str">
        <f>B114</f>
        <v>ELEMENT NO 7: FINISHES</v>
      </c>
      <c r="C204" s="906"/>
      <c r="D204" s="906"/>
      <c r="E204" s="906"/>
      <c r="F204" s="907"/>
      <c r="G204" s="906"/>
    </row>
    <row r="205" spans="1:7">
      <c r="A205" s="939">
        <v>5.8</v>
      </c>
      <c r="B205" s="909" t="str">
        <f>B155</f>
        <v>ELEMENT NO. 8: ELECTRICAL INSTALLATIONS AND SERVICES</v>
      </c>
      <c r="C205" s="906"/>
      <c r="D205" s="906"/>
      <c r="E205" s="906"/>
      <c r="F205" s="907"/>
      <c r="G205" s="906"/>
    </row>
    <row r="206" spans="1:7">
      <c r="A206" s="939">
        <v>5.9</v>
      </c>
      <c r="B206" s="906" t="str">
        <f>B176</f>
        <v>ELEMENT NO. 9: STEPS AND RUMPS</v>
      </c>
      <c r="C206" s="906"/>
      <c r="D206" s="906"/>
      <c r="E206" s="906"/>
      <c r="F206" s="907"/>
      <c r="G206" s="906"/>
    </row>
    <row r="207" spans="1:7" s="1031" customFormat="1">
      <c r="A207" s="1008">
        <v>5.0999999999999996</v>
      </c>
      <c r="B207" s="906" t="str">
        <f>B182</f>
        <v xml:space="preserve">ELEMENT NO. 10 WASH AREA FOR PRAYERS </v>
      </c>
      <c r="C207" s="906"/>
      <c r="D207" s="906"/>
      <c r="E207" s="906"/>
      <c r="F207" s="907"/>
      <c r="G207" s="905"/>
    </row>
    <row r="208" spans="1:7">
      <c r="A208" s="939">
        <v>5.1100000000000003</v>
      </c>
      <c r="B208" s="906" t="str">
        <f>B188</f>
        <v>ELEMENT NO. 11: SOAK PIT 1 No.</v>
      </c>
      <c r="C208" s="906"/>
      <c r="D208" s="906"/>
      <c r="E208" s="906"/>
      <c r="F208" s="907"/>
    </row>
    <row r="209" spans="1:6">
      <c r="A209" s="939"/>
      <c r="B209" s="906"/>
      <c r="C209" s="906"/>
      <c r="D209" s="906"/>
      <c r="E209" s="906"/>
      <c r="F209" s="907"/>
    </row>
    <row r="210" spans="1:6">
      <c r="A210" s="933"/>
      <c r="B210" s="905" t="s">
        <v>672</v>
      </c>
      <c r="C210" s="905"/>
      <c r="D210" s="905"/>
      <c r="E210" s="905"/>
      <c r="F210" s="910"/>
    </row>
  </sheetData>
  <pageMargins left="0.7" right="0.7" top="0.75" bottom="0.75" header="0.3" footer="0.3"/>
  <pageSetup scale="75" orientation="portrait" horizontalDpi="300" verticalDpi="300" r:id="rId1"/>
  <rowBreaks count="4" manualBreakCount="4">
    <brk id="35" max="5" man="1"/>
    <brk id="111" max="5" man="1"/>
    <brk id="152" max="5" man="1"/>
    <brk id="179"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203"/>
  <sheetViews>
    <sheetView view="pageBreakPreview" zoomScale="94" zoomScaleNormal="100" zoomScaleSheetLayoutView="94" workbookViewId="0">
      <selection activeCell="B14" sqref="B14"/>
    </sheetView>
  </sheetViews>
  <sheetFormatPr defaultColWidth="8.88671875" defaultRowHeight="14.4"/>
  <cols>
    <col min="1" max="1" width="6.6640625" style="1009" bestFit="1" customWidth="1"/>
    <col min="2" max="2" width="66.109375" style="931" customWidth="1"/>
    <col min="3" max="3" width="8.88671875" style="931"/>
    <col min="4" max="4" width="8.44140625" style="931" bestFit="1" customWidth="1"/>
    <col min="5" max="5" width="8.5546875" style="931" customWidth="1"/>
    <col min="6" max="6" width="14.6640625" style="931" bestFit="1" customWidth="1"/>
    <col min="7" max="16384" width="8.88671875" style="931"/>
  </cols>
  <sheetData>
    <row r="1" spans="1:6" s="989" customFormat="1">
      <c r="A1" s="983" t="s">
        <v>260</v>
      </c>
      <c r="B1" s="984" t="s">
        <v>13</v>
      </c>
      <c r="C1" s="985" t="s">
        <v>330</v>
      </c>
      <c r="D1" s="986" t="s">
        <v>331</v>
      </c>
      <c r="E1" s="987" t="s">
        <v>332</v>
      </c>
      <c r="F1" s="988"/>
    </row>
    <row r="2" spans="1:6">
      <c r="A2" s="990"/>
      <c r="B2" s="852" t="str">
        <f>'1 Preliminaries '!B2</f>
        <v>PROPOSED MALE TRANSITION CENTER - BAIDOA</v>
      </c>
      <c r="C2" s="853"/>
      <c r="D2" s="854"/>
      <c r="E2" s="855"/>
      <c r="F2" s="856"/>
    </row>
    <row r="3" spans="1:6">
      <c r="A3" s="990"/>
      <c r="B3" s="857" t="s">
        <v>1204</v>
      </c>
      <c r="C3" s="853"/>
      <c r="D3" s="854"/>
      <c r="E3" s="855"/>
      <c r="F3" s="856"/>
    </row>
    <row r="4" spans="1:6">
      <c r="A4" s="990"/>
      <c r="B4" s="857"/>
      <c r="C4" s="853"/>
      <c r="D4" s="854"/>
      <c r="E4" s="855"/>
      <c r="F4" s="856"/>
    </row>
    <row r="5" spans="1:6">
      <c r="A5" s="991">
        <v>6</v>
      </c>
      <c r="B5" s="852" t="s">
        <v>1205</v>
      </c>
      <c r="C5" s="858"/>
      <c r="D5" s="859"/>
      <c r="E5" s="860"/>
      <c r="F5" s="861"/>
    </row>
    <row r="6" spans="1:6">
      <c r="A6" s="991"/>
      <c r="B6" s="862"/>
      <c r="C6" s="858"/>
      <c r="D6" s="859"/>
      <c r="E6" s="860"/>
      <c r="F6" s="861"/>
    </row>
    <row r="7" spans="1:6">
      <c r="A7" s="991">
        <v>6.1</v>
      </c>
      <c r="B7" s="852" t="s">
        <v>476</v>
      </c>
      <c r="C7" s="858"/>
      <c r="D7" s="859"/>
      <c r="E7" s="860"/>
      <c r="F7" s="861"/>
    </row>
    <row r="8" spans="1:6" ht="16.2">
      <c r="A8" s="991" t="s">
        <v>796</v>
      </c>
      <c r="B8" s="863" t="s">
        <v>698</v>
      </c>
      <c r="C8" s="859" t="s">
        <v>465</v>
      </c>
      <c r="D8" s="859">
        <v>48</v>
      </c>
      <c r="E8" s="860"/>
      <c r="F8" s="861"/>
    </row>
    <row r="9" spans="1:6" ht="42" customHeight="1">
      <c r="A9" s="991" t="s">
        <v>797</v>
      </c>
      <c r="B9" s="863" t="s">
        <v>477</v>
      </c>
      <c r="C9" s="859" t="s">
        <v>465</v>
      </c>
      <c r="D9" s="859">
        <f>D8</f>
        <v>48</v>
      </c>
      <c r="E9" s="860"/>
      <c r="F9" s="861"/>
    </row>
    <row r="10" spans="1:6" ht="16.2">
      <c r="A10" s="991" t="s">
        <v>1206</v>
      </c>
      <c r="B10" s="863" t="s">
        <v>1090</v>
      </c>
      <c r="C10" s="859" t="s">
        <v>689</v>
      </c>
      <c r="D10" s="859">
        <f>CEILING((27.6)*0.4*0.4,1)</f>
        <v>5</v>
      </c>
      <c r="E10" s="860"/>
      <c r="F10" s="861"/>
    </row>
    <row r="11" spans="1:6" ht="16.2">
      <c r="A11" s="991" t="s">
        <v>1207</v>
      </c>
      <c r="B11" s="863" t="s">
        <v>1091</v>
      </c>
      <c r="C11" s="859" t="s">
        <v>465</v>
      </c>
      <c r="D11" s="859">
        <f>CEILING((27.6)*0.6,1)</f>
        <v>17</v>
      </c>
      <c r="E11" s="860"/>
      <c r="F11" s="861"/>
    </row>
    <row r="12" spans="1:6">
      <c r="A12" s="991"/>
      <c r="B12" s="852" t="s">
        <v>699</v>
      </c>
      <c r="C12" s="859"/>
      <c r="D12" s="859"/>
      <c r="E12" s="860"/>
      <c r="F12" s="864"/>
    </row>
    <row r="13" spans="1:6" ht="28.8">
      <c r="A13" s="991" t="s">
        <v>1208</v>
      </c>
      <c r="B13" s="863" t="s">
        <v>700</v>
      </c>
      <c r="C13" s="859" t="s">
        <v>465</v>
      </c>
      <c r="D13" s="859">
        <f>D9</f>
        <v>48</v>
      </c>
      <c r="E13" s="860"/>
      <c r="F13" s="861"/>
    </row>
    <row r="14" spans="1:6" ht="28.8">
      <c r="A14" s="991" t="s">
        <v>1209</v>
      </c>
      <c r="B14" s="863" t="s">
        <v>701</v>
      </c>
      <c r="C14" s="859" t="s">
        <v>465</v>
      </c>
      <c r="D14" s="859">
        <f>D13</f>
        <v>48</v>
      </c>
      <c r="E14" s="860"/>
      <c r="F14" s="861"/>
    </row>
    <row r="15" spans="1:6">
      <c r="A15" s="991" t="s">
        <v>1210</v>
      </c>
      <c r="B15" s="852" t="s">
        <v>307</v>
      </c>
      <c r="C15" s="858"/>
      <c r="D15" s="859"/>
      <c r="E15" s="860"/>
      <c r="F15" s="861"/>
    </row>
    <row r="16" spans="1:6" ht="43.2">
      <c r="A16" s="991" t="s">
        <v>1211</v>
      </c>
      <c r="B16" s="863" t="s">
        <v>690</v>
      </c>
      <c r="C16" s="859" t="s">
        <v>465</v>
      </c>
      <c r="D16" s="859">
        <f>D14</f>
        <v>48</v>
      </c>
      <c r="E16" s="860"/>
      <c r="F16" s="861"/>
    </row>
    <row r="17" spans="1:8">
      <c r="A17" s="991"/>
      <c r="B17" s="852" t="s">
        <v>295</v>
      </c>
      <c r="C17" s="858"/>
      <c r="D17" s="859"/>
      <c r="E17" s="860"/>
      <c r="F17" s="861"/>
    </row>
    <row r="18" spans="1:8" ht="43.2">
      <c r="A18" s="991" t="s">
        <v>1212</v>
      </c>
      <c r="B18" s="863" t="s">
        <v>702</v>
      </c>
      <c r="C18" s="859" t="s">
        <v>465</v>
      </c>
      <c r="D18" s="859">
        <f>D16</f>
        <v>48</v>
      </c>
      <c r="E18" s="860"/>
      <c r="F18" s="861"/>
    </row>
    <row r="19" spans="1:8">
      <c r="A19" s="991"/>
      <c r="B19" s="852" t="s">
        <v>471</v>
      </c>
      <c r="C19" s="858"/>
      <c r="D19" s="859"/>
      <c r="E19" s="860"/>
      <c r="F19" s="861"/>
    </row>
    <row r="20" spans="1:8" ht="28.8">
      <c r="A20" s="991" t="s">
        <v>1213</v>
      </c>
      <c r="B20" s="863" t="s">
        <v>1092</v>
      </c>
      <c r="C20" s="859" t="s">
        <v>472</v>
      </c>
      <c r="D20" s="859">
        <f>CEILING(27.6,1)</f>
        <v>28</v>
      </c>
      <c r="E20" s="860"/>
      <c r="F20" s="861"/>
    </row>
    <row r="21" spans="1:8">
      <c r="A21" s="991"/>
      <c r="B21" s="852" t="s">
        <v>479</v>
      </c>
      <c r="C21" s="859"/>
      <c r="D21" s="859"/>
      <c r="E21" s="860"/>
      <c r="F21" s="861"/>
    </row>
    <row r="22" spans="1:8" s="932" customFormat="1" ht="28.8">
      <c r="A22" s="915"/>
      <c r="B22" s="865" t="s">
        <v>1093</v>
      </c>
      <c r="C22" s="858"/>
      <c r="D22" s="860"/>
      <c r="E22" s="858"/>
      <c r="F22" s="916"/>
    </row>
    <row r="23" spans="1:8" s="932" customFormat="1">
      <c r="A23" s="915" t="s">
        <v>1214</v>
      </c>
      <c r="B23" s="863" t="s">
        <v>1094</v>
      </c>
      <c r="C23" s="858" t="s">
        <v>287</v>
      </c>
      <c r="D23" s="860">
        <f>CEILING((27.6*3*1.15+(27.6/0.2+1)*0.5)*0.395,1)</f>
        <v>66</v>
      </c>
      <c r="E23" s="858"/>
      <c r="F23" s="916"/>
    </row>
    <row r="24" spans="1:8" s="932" customFormat="1">
      <c r="A24" s="915" t="s">
        <v>1215</v>
      </c>
      <c r="B24" s="863" t="s">
        <v>1199</v>
      </c>
      <c r="C24" s="858" t="s">
        <v>287</v>
      </c>
      <c r="D24" s="860">
        <f>CEILING((27.6/0.2+1)*0.7*0.617,1)</f>
        <v>61</v>
      </c>
      <c r="E24" s="858"/>
      <c r="F24" s="916"/>
    </row>
    <row r="25" spans="1:8" s="932" customFormat="1">
      <c r="A25" s="915" t="s">
        <v>1216</v>
      </c>
      <c r="B25" s="863" t="s">
        <v>1095</v>
      </c>
      <c r="C25" s="858" t="s">
        <v>287</v>
      </c>
      <c r="D25" s="860">
        <f>CEILING(27.6*4*1.15*0.888,1)</f>
        <v>113</v>
      </c>
      <c r="E25" s="858"/>
      <c r="F25" s="916"/>
    </row>
    <row r="26" spans="1:8" ht="16.2">
      <c r="A26" s="915" t="s">
        <v>1217</v>
      </c>
      <c r="B26" s="863" t="s">
        <v>480</v>
      </c>
      <c r="C26" s="859" t="s">
        <v>465</v>
      </c>
      <c r="D26" s="859">
        <f>D18</f>
        <v>48</v>
      </c>
      <c r="E26" s="860"/>
      <c r="F26" s="861"/>
    </row>
    <row r="27" spans="1:8">
      <c r="A27" s="991"/>
      <c r="B27" s="862" t="s">
        <v>481</v>
      </c>
      <c r="C27" s="858"/>
      <c r="D27" s="859"/>
      <c r="E27" s="860"/>
      <c r="F27" s="861"/>
    </row>
    <row r="28" spans="1:8">
      <c r="A28" s="991"/>
      <c r="B28" s="865" t="s">
        <v>341</v>
      </c>
      <c r="C28" s="858"/>
      <c r="D28" s="859"/>
      <c r="E28" s="860"/>
      <c r="F28" s="861"/>
    </row>
    <row r="29" spans="1:8" ht="16.2">
      <c r="A29" s="991" t="s">
        <v>1218</v>
      </c>
      <c r="B29" s="863" t="s">
        <v>482</v>
      </c>
      <c r="C29" s="859" t="s">
        <v>689</v>
      </c>
      <c r="D29" s="859">
        <f>CEILING(D18*0.15,1)</f>
        <v>8</v>
      </c>
      <c r="E29" s="860"/>
      <c r="F29" s="861"/>
      <c r="H29" s="931">
        <f>24*2*120</f>
        <v>5760</v>
      </c>
    </row>
    <row r="30" spans="1:8">
      <c r="A30" s="991" t="s">
        <v>1219</v>
      </c>
      <c r="B30" s="863" t="s">
        <v>1096</v>
      </c>
      <c r="C30" s="859" t="s">
        <v>1097</v>
      </c>
      <c r="D30" s="859">
        <f>CEILING((27.6)*0.25*0.4,1)</f>
        <v>3</v>
      </c>
      <c r="E30" s="860"/>
      <c r="F30" s="861"/>
    </row>
    <row r="31" spans="1:8">
      <c r="A31" s="991" t="s">
        <v>1220</v>
      </c>
      <c r="B31" s="863" t="s">
        <v>1098</v>
      </c>
      <c r="C31" s="859" t="s">
        <v>1097</v>
      </c>
      <c r="D31" s="859">
        <f>CEILING((27.6)*0.2*0.3,1)</f>
        <v>2</v>
      </c>
      <c r="E31" s="860"/>
      <c r="F31" s="861"/>
    </row>
    <row r="32" spans="1:8">
      <c r="A32" s="991"/>
      <c r="B32" s="546" t="s">
        <v>897</v>
      </c>
      <c r="C32" s="547"/>
      <c r="D32" s="547"/>
      <c r="E32" s="547"/>
      <c r="F32" s="576"/>
    </row>
    <row r="33" spans="1:8" ht="100.8">
      <c r="A33" s="548"/>
      <c r="B33" s="865" t="s">
        <v>898</v>
      </c>
      <c r="C33" s="547"/>
      <c r="D33" s="547"/>
      <c r="E33" s="547"/>
      <c r="F33" s="576"/>
    </row>
    <row r="34" spans="1:8" s="872" customFormat="1" ht="16.2">
      <c r="A34" s="991" t="s">
        <v>1374</v>
      </c>
      <c r="B34" s="863" t="s">
        <v>899</v>
      </c>
      <c r="C34" s="547" t="s">
        <v>500</v>
      </c>
      <c r="D34" s="547">
        <f>CEILING(31.6*1.2,1)</f>
        <v>38</v>
      </c>
      <c r="E34" s="547"/>
      <c r="F34" s="576"/>
      <c r="G34" s="871"/>
    </row>
    <row r="35" spans="1:8" s="938" customFormat="1">
      <c r="A35" s="993"/>
      <c r="B35" s="862" t="s">
        <v>668</v>
      </c>
      <c r="C35" s="868"/>
      <c r="D35" s="868"/>
      <c r="E35" s="869"/>
      <c r="F35" s="870"/>
      <c r="G35" s="937"/>
    </row>
    <row r="36" spans="1:8" s="938" customFormat="1">
      <c r="A36" s="917" t="s">
        <v>260</v>
      </c>
      <c r="B36" s="911" t="s">
        <v>13</v>
      </c>
      <c r="C36" s="912" t="s">
        <v>330</v>
      </c>
      <c r="D36" s="913" t="s">
        <v>331</v>
      </c>
      <c r="E36" s="914" t="s">
        <v>332</v>
      </c>
      <c r="F36" s="918"/>
      <c r="G36" s="937"/>
    </row>
    <row r="37" spans="1:8" s="932" customFormat="1">
      <c r="A37" s="933"/>
      <c r="B37" s="890"/>
      <c r="C37" s="877"/>
      <c r="D37" s="893"/>
      <c r="E37" s="878"/>
      <c r="F37" s="934"/>
    </row>
    <row r="38" spans="1:8" s="938" customFormat="1">
      <c r="A38" s="933">
        <v>6.2</v>
      </c>
      <c r="B38" s="885" t="s">
        <v>1099</v>
      </c>
      <c r="C38" s="874"/>
      <c r="D38" s="880"/>
      <c r="E38" s="875"/>
      <c r="F38" s="934"/>
      <c r="H38" s="938">
        <f>(174.3*0.4*0.45)+(92.15*0.4*0.45)</f>
        <v>47.961000000000013</v>
      </c>
    </row>
    <row r="39" spans="1:8" s="66" customFormat="1">
      <c r="A39" s="1169"/>
      <c r="B39" s="1170" t="s">
        <v>1100</v>
      </c>
      <c r="C39" s="1171"/>
      <c r="D39" s="1172"/>
      <c r="E39" s="1171"/>
      <c r="F39" s="1173"/>
    </row>
    <row r="40" spans="1:8" s="1178" customFormat="1">
      <c r="A40" s="1174" t="s">
        <v>860</v>
      </c>
      <c r="B40" s="1062" t="s">
        <v>1101</v>
      </c>
      <c r="C40" s="1175" t="s">
        <v>282</v>
      </c>
      <c r="D40" s="1176">
        <f>CEILING((27.6+6.2+7.2)*0.2*0.4,1)</f>
        <v>4</v>
      </c>
      <c r="E40" s="1175"/>
      <c r="F40" s="1177"/>
      <c r="H40" s="1178">
        <f>(174.3*0.4*0.45)+(92.15*0.4*0.45)</f>
        <v>47.961000000000013</v>
      </c>
    </row>
    <row r="41" spans="1:8" s="1178" customFormat="1">
      <c r="A41" s="1174"/>
      <c r="B41" s="1062" t="s">
        <v>1675</v>
      </c>
      <c r="C41" s="1175" t="s">
        <v>282</v>
      </c>
      <c r="D41" s="1179">
        <f>CEILING(48*0.15,1)</f>
        <v>8</v>
      </c>
      <c r="E41" s="1180"/>
      <c r="F41" s="1181"/>
    </row>
    <row r="42" spans="1:8" s="1178" customFormat="1">
      <c r="A42" s="1174"/>
      <c r="B42" s="1182" t="s">
        <v>1676</v>
      </c>
      <c r="C42" s="1175" t="s">
        <v>282</v>
      </c>
      <c r="D42" s="1179">
        <f>CEILING(9*0.4*0.4*3.3,1)</f>
        <v>5</v>
      </c>
      <c r="E42" s="1180"/>
      <c r="F42" s="1181"/>
    </row>
    <row r="43" spans="1:8" s="66" customFormat="1">
      <c r="A43" s="1169"/>
      <c r="B43" s="1170" t="s">
        <v>534</v>
      </c>
      <c r="C43" s="1171"/>
      <c r="D43" s="1172"/>
      <c r="E43" s="1171"/>
      <c r="F43" s="1173"/>
    </row>
    <row r="44" spans="1:8" s="66" customFormat="1">
      <c r="A44" s="1169"/>
      <c r="B44" s="1170" t="s">
        <v>535</v>
      </c>
      <c r="C44" s="1171"/>
      <c r="D44" s="1172"/>
      <c r="E44" s="1171"/>
      <c r="F44" s="1173"/>
    </row>
    <row r="45" spans="1:8" s="66" customFormat="1">
      <c r="A45" s="1169" t="s">
        <v>1688</v>
      </c>
      <c r="B45" s="1183" t="s">
        <v>1102</v>
      </c>
      <c r="C45" s="1171" t="s">
        <v>287</v>
      </c>
      <c r="D45" s="1048">
        <f>CEILING((27.6+6.2+7.2)/0.2*0.7*0.395,1)</f>
        <v>57</v>
      </c>
      <c r="E45" s="1171"/>
      <c r="F45" s="1173"/>
      <c r="G45" s="66">
        <f>D45*110</f>
        <v>6270</v>
      </c>
    </row>
    <row r="46" spans="1:8" s="66" customFormat="1">
      <c r="A46" s="1169" t="s">
        <v>1689</v>
      </c>
      <c r="B46" s="1183" t="s">
        <v>1103</v>
      </c>
      <c r="C46" s="1171" t="s">
        <v>287</v>
      </c>
      <c r="D46" s="1048">
        <f>CEILING((27.6+6.2+7.2)*4*1.15*0.888,1)</f>
        <v>168</v>
      </c>
      <c r="E46" s="1171"/>
      <c r="F46" s="1173"/>
    </row>
    <row r="47" spans="1:8" s="66" customFormat="1">
      <c r="A47" s="1169"/>
      <c r="B47" s="1184" t="s">
        <v>1104</v>
      </c>
      <c r="C47" s="1171"/>
      <c r="D47" s="1172"/>
      <c r="E47" s="1171"/>
      <c r="F47" s="1173"/>
    </row>
    <row r="48" spans="1:8" s="66" customFormat="1">
      <c r="A48" s="1169" t="s">
        <v>1690</v>
      </c>
      <c r="B48" s="1183" t="s">
        <v>1105</v>
      </c>
      <c r="C48" s="1171" t="s">
        <v>8</v>
      </c>
      <c r="D48" s="1048">
        <f>CEILING((27.6+6.2+7.2)*2*0.2,1)</f>
        <v>17</v>
      </c>
      <c r="E48" s="1171"/>
      <c r="F48" s="1173"/>
    </row>
    <row r="49" spans="1:198" s="66" customFormat="1">
      <c r="A49" s="1169"/>
      <c r="B49" s="1183" t="s">
        <v>1684</v>
      </c>
      <c r="C49" s="1171" t="s">
        <v>8</v>
      </c>
      <c r="D49" s="1048">
        <v>48</v>
      </c>
      <c r="E49" s="1171"/>
      <c r="F49" s="1173"/>
    </row>
    <row r="50" spans="1:198" s="1189" customFormat="1">
      <c r="A50" s="1185"/>
      <c r="B50" s="862" t="s">
        <v>1687</v>
      </c>
      <c r="C50" s="1186"/>
      <c r="D50" s="1187"/>
      <c r="E50" s="1186"/>
      <c r="F50" s="1188"/>
    </row>
    <row r="51" spans="1:198" s="1189" customFormat="1">
      <c r="A51" s="1200"/>
      <c r="B51" s="1200"/>
      <c r="C51" s="1201"/>
      <c r="D51" s="1202"/>
      <c r="E51" s="1201"/>
      <c r="F51" s="1203"/>
    </row>
    <row r="52" spans="1:198" s="66" customFormat="1">
      <c r="A52" s="1204">
        <v>6.3</v>
      </c>
      <c r="B52" s="1184" t="s">
        <v>1107</v>
      </c>
      <c r="C52" s="1171"/>
      <c r="D52" s="1172"/>
      <c r="E52" s="1171"/>
      <c r="F52" s="1173"/>
    </row>
    <row r="53" spans="1:198" s="66" customFormat="1">
      <c r="A53" s="1169"/>
      <c r="B53" s="1170"/>
      <c r="C53" s="1171"/>
      <c r="D53" s="1172"/>
      <c r="E53" s="1171"/>
      <c r="F53" s="1173"/>
    </row>
    <row r="54" spans="1:198" s="66" customFormat="1">
      <c r="A54" s="1169"/>
      <c r="B54" s="1205"/>
      <c r="C54" s="1171"/>
      <c r="D54" s="1172"/>
      <c r="E54" s="1171"/>
      <c r="F54" s="1173"/>
    </row>
    <row r="55" spans="1:198" s="66" customFormat="1" ht="43.2">
      <c r="A55" s="1169"/>
      <c r="B55" s="1196" t="s">
        <v>1680</v>
      </c>
      <c r="C55" s="1171"/>
      <c r="D55" s="1176"/>
      <c r="E55" s="1171"/>
      <c r="F55" s="1173"/>
    </row>
    <row r="56" spans="1:198" s="66" customFormat="1">
      <c r="A56" s="1169"/>
      <c r="B56" s="1197"/>
      <c r="C56" s="1171"/>
      <c r="D56" s="1172"/>
      <c r="E56" s="1171"/>
      <c r="F56" s="1173"/>
    </row>
    <row r="57" spans="1:198" s="66" customFormat="1" ht="14.25" customHeight="1">
      <c r="A57" s="1169" t="s">
        <v>852</v>
      </c>
      <c r="B57" s="1198" t="s">
        <v>1681</v>
      </c>
      <c r="C57" s="1171" t="s">
        <v>8</v>
      </c>
      <c r="D57" s="1199">
        <f>CEILING((27.6)*3,1)</f>
        <v>83</v>
      </c>
      <c r="E57" s="1171"/>
      <c r="F57" s="1173"/>
    </row>
    <row r="58" spans="1:198" s="66" customFormat="1">
      <c r="A58" s="1169" t="s">
        <v>1691</v>
      </c>
      <c r="B58" s="1170" t="s">
        <v>1109</v>
      </c>
      <c r="C58" s="1171"/>
      <c r="D58" s="1172"/>
      <c r="E58" s="1171"/>
      <c r="F58" s="1173"/>
    </row>
    <row r="59" spans="1:198" s="66" customFormat="1">
      <c r="A59" s="1169" t="s">
        <v>1692</v>
      </c>
      <c r="B59" s="1183" t="s">
        <v>1683</v>
      </c>
      <c r="C59" s="1171" t="s">
        <v>9</v>
      </c>
      <c r="D59" s="1199">
        <f>CEILING((27.6),1)</f>
        <v>28</v>
      </c>
      <c r="E59" s="1171"/>
      <c r="F59" s="1173"/>
    </row>
    <row r="60" spans="1:198" s="1012" customFormat="1" ht="17.399999999999999" customHeight="1">
      <c r="A60" s="939"/>
      <c r="B60" s="887"/>
      <c r="C60" s="874"/>
      <c r="D60" s="880"/>
      <c r="E60" s="875"/>
      <c r="F60" s="892"/>
    </row>
    <row r="61" spans="1:198" s="1012" customFormat="1">
      <c r="A61" s="915"/>
      <c r="B61" s="863"/>
      <c r="C61" s="858"/>
      <c r="D61" s="860"/>
      <c r="E61" s="858"/>
      <c r="F61" s="864"/>
    </row>
    <row r="62" spans="1:198" s="1017" customFormat="1">
      <c r="A62" s="915"/>
      <c r="B62" s="862" t="s">
        <v>1111</v>
      </c>
      <c r="C62" s="924"/>
      <c r="D62" s="860"/>
      <c r="E62" s="858"/>
      <c r="F62" s="1014"/>
      <c r="G62" s="942"/>
      <c r="H62" s="1016"/>
      <c r="I62" s="1016"/>
      <c r="J62" s="1016"/>
      <c r="K62" s="1016"/>
      <c r="L62" s="1016"/>
      <c r="M62" s="1016"/>
      <c r="N62" s="1016"/>
      <c r="O62" s="1016"/>
      <c r="P62" s="1016"/>
      <c r="Q62" s="1016"/>
      <c r="R62" s="1016"/>
      <c r="S62" s="1016"/>
      <c r="T62" s="1016"/>
      <c r="U62" s="1016"/>
      <c r="V62" s="1016"/>
      <c r="W62" s="1016"/>
      <c r="X62" s="1016"/>
      <c r="Y62" s="1016"/>
      <c r="Z62" s="1016"/>
      <c r="AA62" s="1016"/>
      <c r="AB62" s="1016"/>
      <c r="AC62" s="1016"/>
      <c r="AD62" s="1016"/>
      <c r="AE62" s="1016"/>
      <c r="AF62" s="1016"/>
      <c r="AG62" s="1016"/>
      <c r="AH62" s="1016"/>
      <c r="AI62" s="1016"/>
      <c r="AJ62" s="1016"/>
      <c r="AK62" s="1016"/>
      <c r="AL62" s="1016"/>
      <c r="AM62" s="1016"/>
      <c r="AN62" s="1016"/>
      <c r="AO62" s="1016"/>
      <c r="AP62" s="1016"/>
      <c r="AQ62" s="1016"/>
      <c r="AR62" s="1016"/>
      <c r="AS62" s="1016"/>
      <c r="AT62" s="1016"/>
      <c r="AU62" s="1016"/>
      <c r="AV62" s="1016"/>
      <c r="AW62" s="1016"/>
      <c r="AX62" s="1016"/>
      <c r="AY62" s="1016"/>
      <c r="AZ62" s="1016"/>
      <c r="BA62" s="1016"/>
      <c r="BB62" s="1016"/>
      <c r="BC62" s="1016"/>
      <c r="BD62" s="1016"/>
      <c r="BE62" s="1016"/>
      <c r="BF62" s="1016"/>
      <c r="BG62" s="1016"/>
      <c r="BH62" s="1016"/>
      <c r="BI62" s="1016"/>
      <c r="BJ62" s="1016"/>
      <c r="BK62" s="1016"/>
      <c r="BL62" s="1016"/>
      <c r="BM62" s="1016"/>
      <c r="BN62" s="1016"/>
      <c r="BO62" s="1016"/>
      <c r="BP62" s="1016"/>
      <c r="BQ62" s="1016"/>
      <c r="BR62" s="1016"/>
      <c r="BS62" s="1016"/>
      <c r="BT62" s="1016"/>
      <c r="BU62" s="1016"/>
      <c r="BV62" s="1016"/>
      <c r="BW62" s="1016"/>
      <c r="BX62" s="1016"/>
      <c r="BY62" s="1016"/>
      <c r="BZ62" s="1016"/>
      <c r="CA62" s="1016"/>
      <c r="CB62" s="1016"/>
      <c r="CC62" s="1016"/>
      <c r="CD62" s="1016"/>
      <c r="CE62" s="1016"/>
      <c r="CF62" s="1016"/>
      <c r="CG62" s="1016"/>
      <c r="CH62" s="1016"/>
      <c r="CI62" s="1016"/>
      <c r="CJ62" s="1016"/>
      <c r="CK62" s="1016"/>
      <c r="CL62" s="1016"/>
      <c r="CM62" s="1016"/>
      <c r="CN62" s="1016"/>
      <c r="CO62" s="1016"/>
      <c r="CP62" s="1016"/>
      <c r="CQ62" s="1016"/>
      <c r="CR62" s="1016"/>
      <c r="CS62" s="1016"/>
      <c r="CT62" s="1016"/>
      <c r="CU62" s="1016"/>
      <c r="CV62" s="1016"/>
      <c r="CW62" s="1016"/>
      <c r="CX62" s="1016"/>
      <c r="CY62" s="1016"/>
      <c r="CZ62" s="1016"/>
      <c r="DA62" s="1016"/>
      <c r="DB62" s="1016"/>
      <c r="DC62" s="1016"/>
      <c r="DD62" s="1016"/>
      <c r="DE62" s="1016"/>
      <c r="DF62" s="1016"/>
      <c r="DG62" s="1016"/>
      <c r="DH62" s="1016"/>
      <c r="DI62" s="1016"/>
      <c r="DJ62" s="1016"/>
      <c r="DK62" s="1016"/>
      <c r="DL62" s="1016"/>
      <c r="DM62" s="1016"/>
      <c r="DN62" s="1016"/>
      <c r="DO62" s="1016"/>
      <c r="DP62" s="1016"/>
      <c r="DQ62" s="1016"/>
      <c r="DR62" s="1016"/>
      <c r="DS62" s="1016"/>
      <c r="DT62" s="1016"/>
      <c r="DU62" s="1016"/>
      <c r="DV62" s="1016"/>
      <c r="DW62" s="1016"/>
      <c r="DX62" s="1016"/>
      <c r="DY62" s="1016"/>
      <c r="DZ62" s="1016"/>
      <c r="EA62" s="1016"/>
      <c r="EB62" s="1016"/>
      <c r="EC62" s="1016"/>
      <c r="ED62" s="1016"/>
      <c r="EE62" s="1016"/>
      <c r="EF62" s="1016"/>
      <c r="EG62" s="1016"/>
      <c r="EH62" s="1016"/>
      <c r="EI62" s="1016"/>
      <c r="EJ62" s="1016"/>
      <c r="EK62" s="1016"/>
      <c r="EL62" s="1016"/>
      <c r="EM62" s="1016"/>
      <c r="EN62" s="1016"/>
      <c r="EO62" s="1016"/>
      <c r="EP62" s="1016"/>
      <c r="EQ62" s="1016"/>
      <c r="ER62" s="1016"/>
      <c r="ES62" s="1016"/>
      <c r="ET62" s="1016"/>
      <c r="EU62" s="1016"/>
      <c r="EV62" s="1016"/>
      <c r="EW62" s="1016"/>
      <c r="EX62" s="1016"/>
      <c r="EY62" s="1016"/>
      <c r="EZ62" s="1016"/>
      <c r="FA62" s="1016"/>
      <c r="FB62" s="1016"/>
      <c r="FC62" s="1016"/>
      <c r="FD62" s="1016"/>
      <c r="FE62" s="1016"/>
      <c r="FF62" s="1016"/>
      <c r="FG62" s="1016"/>
      <c r="FH62" s="1016"/>
      <c r="FI62" s="1016"/>
      <c r="FJ62" s="1016"/>
      <c r="FK62" s="1016"/>
      <c r="FL62" s="1016"/>
      <c r="FM62" s="1016"/>
      <c r="FN62" s="1016"/>
      <c r="FO62" s="1016"/>
      <c r="FP62" s="1016"/>
      <c r="FQ62" s="1016"/>
      <c r="FR62" s="1016"/>
      <c r="FS62" s="1016"/>
      <c r="FT62" s="1016"/>
      <c r="FU62" s="1016"/>
      <c r="FV62" s="1016"/>
      <c r="FW62" s="1016"/>
      <c r="FX62" s="1016"/>
      <c r="FY62" s="1016"/>
      <c r="FZ62" s="1016"/>
      <c r="GA62" s="1016"/>
      <c r="GB62" s="1016"/>
      <c r="GC62" s="1016"/>
      <c r="GD62" s="1016"/>
      <c r="GE62" s="1016"/>
      <c r="GF62" s="1016"/>
      <c r="GG62" s="1016"/>
      <c r="GH62" s="1016"/>
      <c r="GI62" s="1016"/>
      <c r="GJ62" s="1016"/>
      <c r="GK62" s="1016"/>
      <c r="GL62" s="1016"/>
      <c r="GM62" s="1016"/>
      <c r="GN62" s="1016"/>
      <c r="GO62" s="1016"/>
      <c r="GP62" s="1016"/>
    </row>
    <row r="63" spans="1:198" s="954" customFormat="1">
      <c r="A63" s="994"/>
      <c r="B63" s="942"/>
      <c r="C63" s="943"/>
      <c r="D63" s="943"/>
      <c r="E63" s="944"/>
      <c r="F63" s="945"/>
      <c r="G63" s="952"/>
      <c r="H63" s="953"/>
      <c r="I63" s="953"/>
      <c r="J63" s="953"/>
      <c r="K63" s="953"/>
      <c r="L63" s="953"/>
      <c r="M63" s="953"/>
      <c r="N63" s="953"/>
      <c r="O63" s="953"/>
      <c r="P63" s="953"/>
      <c r="Q63" s="953"/>
      <c r="R63" s="953"/>
      <c r="S63" s="953"/>
      <c r="T63" s="953"/>
      <c r="U63" s="953"/>
      <c r="V63" s="953"/>
      <c r="W63" s="953"/>
      <c r="X63" s="953"/>
      <c r="Y63" s="953"/>
      <c r="Z63" s="953"/>
      <c r="AA63" s="953"/>
      <c r="AB63" s="953"/>
      <c r="AC63" s="953"/>
      <c r="AD63" s="953"/>
      <c r="AE63" s="953"/>
      <c r="AF63" s="953"/>
      <c r="AG63" s="953"/>
      <c r="AH63" s="953"/>
      <c r="AI63" s="953"/>
      <c r="AJ63" s="953"/>
      <c r="AK63" s="953"/>
      <c r="AL63" s="953"/>
      <c r="AM63" s="953"/>
      <c r="AN63" s="953"/>
      <c r="AO63" s="953"/>
      <c r="AP63" s="953"/>
      <c r="AQ63" s="953"/>
      <c r="AR63" s="953"/>
      <c r="AS63" s="953"/>
      <c r="AT63" s="953"/>
      <c r="AU63" s="953"/>
      <c r="AV63" s="953"/>
      <c r="AW63" s="953"/>
      <c r="AX63" s="953"/>
      <c r="AY63" s="953"/>
      <c r="AZ63" s="953"/>
      <c r="BA63" s="953"/>
      <c r="BB63" s="953"/>
      <c r="BC63" s="953"/>
      <c r="BD63" s="953"/>
      <c r="BE63" s="953"/>
      <c r="BF63" s="953"/>
      <c r="BG63" s="953"/>
      <c r="BH63" s="953"/>
      <c r="BI63" s="953"/>
      <c r="BJ63" s="953"/>
      <c r="BK63" s="953"/>
      <c r="BL63" s="953"/>
      <c r="BM63" s="953"/>
      <c r="BN63" s="953"/>
      <c r="BO63" s="953"/>
      <c r="BP63" s="953"/>
      <c r="BQ63" s="953"/>
      <c r="BR63" s="953"/>
      <c r="BS63" s="953"/>
      <c r="BT63" s="953"/>
      <c r="BU63" s="953"/>
      <c r="BV63" s="953"/>
      <c r="BW63" s="953"/>
      <c r="BX63" s="953"/>
      <c r="BY63" s="953"/>
      <c r="BZ63" s="953"/>
      <c r="CA63" s="953"/>
      <c r="CB63" s="953"/>
      <c r="CC63" s="953"/>
      <c r="CD63" s="953"/>
      <c r="CE63" s="953"/>
      <c r="CF63" s="953"/>
      <c r="CG63" s="953"/>
      <c r="CH63" s="953"/>
      <c r="CI63" s="953"/>
      <c r="CJ63" s="953"/>
      <c r="CK63" s="953"/>
      <c r="CL63" s="953"/>
      <c r="CM63" s="953"/>
      <c r="CN63" s="953"/>
      <c r="CO63" s="953"/>
      <c r="CP63" s="953"/>
      <c r="CQ63" s="953"/>
      <c r="CR63" s="953"/>
      <c r="CS63" s="953"/>
      <c r="CT63" s="953"/>
      <c r="CU63" s="953"/>
      <c r="CV63" s="953"/>
      <c r="CW63" s="953"/>
      <c r="CX63" s="953"/>
      <c r="CY63" s="953"/>
      <c r="CZ63" s="953"/>
      <c r="DA63" s="953"/>
      <c r="DB63" s="953"/>
      <c r="DC63" s="953"/>
      <c r="DD63" s="953"/>
      <c r="DE63" s="953"/>
      <c r="DF63" s="953"/>
      <c r="DG63" s="953"/>
      <c r="DH63" s="953"/>
      <c r="DI63" s="953"/>
      <c r="DJ63" s="953"/>
      <c r="DK63" s="953"/>
      <c r="DL63" s="953"/>
      <c r="DM63" s="953"/>
      <c r="DN63" s="953"/>
      <c r="DO63" s="953"/>
      <c r="DP63" s="953"/>
      <c r="DQ63" s="953"/>
      <c r="DR63" s="953"/>
      <c r="DS63" s="953"/>
      <c r="DT63" s="953"/>
      <c r="DU63" s="953"/>
      <c r="DV63" s="953"/>
      <c r="DW63" s="953"/>
      <c r="DX63" s="953"/>
      <c r="DY63" s="953"/>
      <c r="DZ63" s="953"/>
      <c r="EA63" s="953"/>
      <c r="EB63" s="953"/>
      <c r="EC63" s="953"/>
      <c r="ED63" s="953"/>
      <c r="EE63" s="953"/>
      <c r="EF63" s="953"/>
      <c r="EG63" s="953"/>
      <c r="EH63" s="953"/>
      <c r="EI63" s="953"/>
      <c r="EJ63" s="953"/>
      <c r="EK63" s="953"/>
      <c r="EL63" s="953"/>
      <c r="EM63" s="953"/>
      <c r="EN63" s="953"/>
      <c r="EO63" s="953"/>
      <c r="EP63" s="953"/>
      <c r="EQ63" s="953"/>
      <c r="ER63" s="953"/>
      <c r="ES63" s="953"/>
      <c r="ET63" s="953"/>
      <c r="EU63" s="953"/>
      <c r="EV63" s="953"/>
      <c r="EW63" s="953"/>
      <c r="EX63" s="953"/>
      <c r="EY63" s="953"/>
      <c r="EZ63" s="953"/>
      <c r="FA63" s="953"/>
      <c r="FB63" s="953"/>
      <c r="FC63" s="953"/>
      <c r="FD63" s="953"/>
      <c r="FE63" s="953"/>
      <c r="FF63" s="953"/>
      <c r="FG63" s="953"/>
      <c r="FH63" s="953"/>
      <c r="FI63" s="953"/>
      <c r="FJ63" s="953"/>
      <c r="FK63" s="953"/>
      <c r="FL63" s="953"/>
      <c r="FM63" s="953"/>
      <c r="FN63" s="953"/>
      <c r="FO63" s="953"/>
      <c r="FP63" s="953"/>
      <c r="FQ63" s="953"/>
      <c r="FR63" s="953"/>
      <c r="FS63" s="953"/>
      <c r="FT63" s="953"/>
      <c r="FU63" s="953"/>
      <c r="FV63" s="953"/>
      <c r="FW63" s="953"/>
      <c r="FX63" s="953"/>
      <c r="FY63" s="953"/>
      <c r="FZ63" s="953"/>
      <c r="GA63" s="953"/>
      <c r="GB63" s="953"/>
      <c r="GC63" s="953"/>
      <c r="GD63" s="953"/>
      <c r="GE63" s="953"/>
      <c r="GF63" s="953"/>
      <c r="GG63" s="953"/>
      <c r="GH63" s="953"/>
      <c r="GI63" s="953"/>
      <c r="GJ63" s="953"/>
      <c r="GK63" s="953"/>
      <c r="GL63" s="953"/>
      <c r="GM63" s="953"/>
      <c r="GN63" s="953"/>
      <c r="GO63" s="953"/>
      <c r="GP63" s="953"/>
    </row>
    <row r="64" spans="1:198" s="959" customFormat="1">
      <c r="A64" s="994">
        <v>6.4</v>
      </c>
      <c r="B64" s="942" t="s">
        <v>1112</v>
      </c>
      <c r="C64" s="949"/>
      <c r="D64" s="949"/>
      <c r="E64" s="950"/>
      <c r="F64" s="951"/>
      <c r="G64" s="958"/>
    </row>
    <row r="65" spans="1:7" s="959" customFormat="1">
      <c r="A65" s="995" t="s">
        <v>11</v>
      </c>
      <c r="B65" s="955" t="s">
        <v>607</v>
      </c>
      <c r="C65" s="956" t="s">
        <v>11</v>
      </c>
      <c r="D65" s="956"/>
      <c r="E65" s="956"/>
      <c r="F65" s="957"/>
      <c r="G65" s="958"/>
    </row>
    <row r="66" spans="1:7" s="959" customFormat="1">
      <c r="A66" s="996" t="s">
        <v>853</v>
      </c>
      <c r="B66" s="960" t="s">
        <v>608</v>
      </c>
      <c r="C66" s="949" t="s">
        <v>8</v>
      </c>
      <c r="D66" s="941">
        <f>CEILING(62.2*1.15,1)</f>
        <v>72</v>
      </c>
      <c r="E66" s="950"/>
      <c r="F66" s="951"/>
      <c r="G66" s="958"/>
    </row>
    <row r="67" spans="1:7" s="959" customFormat="1">
      <c r="A67" s="996" t="s">
        <v>854</v>
      </c>
      <c r="B67" s="956" t="s">
        <v>692</v>
      </c>
      <c r="C67" s="956" t="s">
        <v>9</v>
      </c>
      <c r="D67" s="956">
        <f>CEILING((5.55+6.4)*6,1)</f>
        <v>72</v>
      </c>
      <c r="E67" s="956"/>
      <c r="F67" s="951"/>
      <c r="G67" s="958"/>
    </row>
    <row r="68" spans="1:7" s="959" customFormat="1">
      <c r="A68" s="996" t="s">
        <v>855</v>
      </c>
      <c r="B68" s="956" t="s">
        <v>691</v>
      </c>
      <c r="C68" s="956" t="s">
        <v>9</v>
      </c>
      <c r="D68" s="956">
        <f>CEILING((9.35+1.85)*6,1)</f>
        <v>68</v>
      </c>
      <c r="E68" s="956"/>
      <c r="F68" s="951"/>
      <c r="G68" s="958"/>
    </row>
    <row r="69" spans="1:7" s="959" customFormat="1">
      <c r="A69" s="996" t="s">
        <v>856</v>
      </c>
      <c r="B69" s="956" t="s">
        <v>327</v>
      </c>
      <c r="C69" s="956" t="s">
        <v>9</v>
      </c>
      <c r="D69" s="956">
        <f>CEILING(10.4*8,1)</f>
        <v>84</v>
      </c>
      <c r="E69" s="956"/>
      <c r="F69" s="951"/>
      <c r="G69" s="958"/>
    </row>
    <row r="70" spans="1:7" s="959" customFormat="1">
      <c r="A70" s="996" t="s">
        <v>857</v>
      </c>
      <c r="B70" s="956" t="s">
        <v>347</v>
      </c>
      <c r="C70" s="956" t="s">
        <v>9</v>
      </c>
      <c r="D70" s="956">
        <f>CEILING(27.6*2,1)</f>
        <v>56</v>
      </c>
      <c r="E70" s="956"/>
      <c r="F70" s="951"/>
      <c r="G70" s="958"/>
    </row>
    <row r="71" spans="1:7" s="959" customFormat="1">
      <c r="A71" s="996" t="s">
        <v>858</v>
      </c>
      <c r="B71" s="956" t="s">
        <v>609</v>
      </c>
      <c r="C71" s="956" t="s">
        <v>9</v>
      </c>
      <c r="D71" s="956">
        <f>CEILING(7*3*0.5,1)</f>
        <v>11</v>
      </c>
      <c r="E71" s="956"/>
      <c r="F71" s="951"/>
      <c r="G71" s="958"/>
    </row>
    <row r="72" spans="1:7" s="959" customFormat="1">
      <c r="A72" s="996" t="s">
        <v>1221</v>
      </c>
      <c r="B72" s="956" t="s">
        <v>502</v>
      </c>
      <c r="C72" s="956" t="s">
        <v>9</v>
      </c>
      <c r="D72" s="956">
        <v>9</v>
      </c>
      <c r="E72" s="956"/>
      <c r="F72" s="951"/>
      <c r="G72" s="958"/>
    </row>
    <row r="73" spans="1:7" s="959" customFormat="1">
      <c r="A73" s="995"/>
      <c r="B73" s="900"/>
      <c r="C73" s="956"/>
      <c r="D73" s="956"/>
      <c r="E73" s="956"/>
      <c r="F73" s="951"/>
      <c r="G73" s="958"/>
    </row>
    <row r="74" spans="1:7" s="959" customFormat="1">
      <c r="A74" s="995" t="s">
        <v>11</v>
      </c>
      <c r="B74" s="900" t="s">
        <v>525</v>
      </c>
      <c r="C74" s="956" t="s">
        <v>11</v>
      </c>
      <c r="D74" s="956" t="s">
        <v>11</v>
      </c>
      <c r="E74" s="956"/>
      <c r="F74" s="961"/>
      <c r="G74" s="958"/>
    </row>
    <row r="75" spans="1:7" s="959" customFormat="1">
      <c r="A75" s="995"/>
      <c r="B75" s="956" t="s">
        <v>526</v>
      </c>
      <c r="C75" s="956" t="s">
        <v>11</v>
      </c>
      <c r="D75" s="956" t="s">
        <v>11</v>
      </c>
      <c r="E75" s="956"/>
      <c r="F75" s="961"/>
      <c r="G75" s="958"/>
    </row>
    <row r="76" spans="1:7" s="959" customFormat="1">
      <c r="A76" s="995" t="s">
        <v>1222</v>
      </c>
      <c r="B76" s="956" t="s">
        <v>610</v>
      </c>
      <c r="C76" s="956" t="s">
        <v>8</v>
      </c>
      <c r="D76" s="956">
        <f>CEILING((62.16-47.36),1)</f>
        <v>15</v>
      </c>
      <c r="E76" s="956"/>
      <c r="F76" s="961"/>
      <c r="G76" s="958"/>
    </row>
    <row r="77" spans="1:7" s="959" customFormat="1">
      <c r="A77" s="995" t="s">
        <v>1223</v>
      </c>
      <c r="B77" s="956" t="s">
        <v>527</v>
      </c>
      <c r="C77" s="956" t="s">
        <v>9</v>
      </c>
      <c r="D77" s="956">
        <v>32</v>
      </c>
      <c r="E77" s="956"/>
      <c r="F77" s="961"/>
      <c r="G77" s="958"/>
    </row>
    <row r="78" spans="1:7" s="959" customFormat="1">
      <c r="A78" s="997" t="s">
        <v>11</v>
      </c>
      <c r="B78" s="955" t="s">
        <v>303</v>
      </c>
      <c r="C78" s="956" t="s">
        <v>11</v>
      </c>
      <c r="D78" s="956" t="s">
        <v>11</v>
      </c>
      <c r="E78" s="956"/>
      <c r="F78" s="961"/>
      <c r="G78" s="958"/>
    </row>
    <row r="79" spans="1:7" s="959" customFormat="1">
      <c r="A79" s="997" t="s">
        <v>1224</v>
      </c>
      <c r="B79" s="956" t="s">
        <v>611</v>
      </c>
      <c r="C79" s="956" t="s">
        <v>8</v>
      </c>
      <c r="D79" s="956">
        <f>D76</f>
        <v>15</v>
      </c>
      <c r="E79" s="956"/>
      <c r="F79" s="961"/>
      <c r="G79" s="958"/>
    </row>
    <row r="80" spans="1:7" s="959" customFormat="1">
      <c r="A80" s="997" t="s">
        <v>1225</v>
      </c>
      <c r="B80" s="956" t="s">
        <v>528</v>
      </c>
      <c r="C80" s="956" t="s">
        <v>9</v>
      </c>
      <c r="D80" s="956">
        <f>D77</f>
        <v>32</v>
      </c>
      <c r="E80" s="956"/>
      <c r="F80" s="961"/>
      <c r="G80" s="958"/>
    </row>
    <row r="81" spans="1:198" s="959" customFormat="1">
      <c r="A81" s="997" t="s">
        <v>11</v>
      </c>
      <c r="B81" s="900" t="s">
        <v>503</v>
      </c>
      <c r="C81" s="956" t="s">
        <v>11</v>
      </c>
      <c r="D81" s="956" t="s">
        <v>11</v>
      </c>
      <c r="E81" s="956"/>
      <c r="F81" s="961"/>
      <c r="G81" s="958"/>
    </row>
    <row r="82" spans="1:198" s="959" customFormat="1" ht="28.8">
      <c r="A82" s="997" t="s">
        <v>1226</v>
      </c>
      <c r="B82" s="956" t="s">
        <v>612</v>
      </c>
      <c r="C82" s="956" t="s">
        <v>9</v>
      </c>
      <c r="D82" s="956">
        <f>D80</f>
        <v>32</v>
      </c>
      <c r="E82" s="956"/>
      <c r="F82" s="961"/>
      <c r="G82" s="958"/>
    </row>
    <row r="83" spans="1:198" s="959" customFormat="1">
      <c r="A83" s="995" t="s">
        <v>11</v>
      </c>
      <c r="B83" s="900" t="s">
        <v>490</v>
      </c>
      <c r="C83" s="956" t="s">
        <v>11</v>
      </c>
      <c r="D83" s="956" t="s">
        <v>11</v>
      </c>
      <c r="E83" s="956"/>
      <c r="F83" s="961"/>
      <c r="G83" s="958"/>
    </row>
    <row r="84" spans="1:198" s="959" customFormat="1" ht="28.8">
      <c r="A84" s="995" t="s">
        <v>1227</v>
      </c>
      <c r="B84" s="956" t="s">
        <v>348</v>
      </c>
      <c r="C84" s="956" t="s">
        <v>9</v>
      </c>
      <c r="D84" s="956">
        <f>4*3</f>
        <v>12</v>
      </c>
      <c r="E84" s="956"/>
      <c r="F84" s="961"/>
      <c r="G84" s="958"/>
    </row>
    <row r="85" spans="1:198" s="959" customFormat="1">
      <c r="A85" s="995" t="s">
        <v>1228</v>
      </c>
      <c r="B85" s="956" t="s">
        <v>504</v>
      </c>
      <c r="C85" s="956" t="s">
        <v>305</v>
      </c>
      <c r="D85" s="956">
        <v>4</v>
      </c>
      <c r="E85" s="956"/>
      <c r="F85" s="961"/>
      <c r="G85" s="958"/>
    </row>
    <row r="86" spans="1:198" s="964" customFormat="1">
      <c r="A86" s="995" t="s">
        <v>1229</v>
      </c>
      <c r="B86" s="956" t="s">
        <v>505</v>
      </c>
      <c r="C86" s="956" t="s">
        <v>305</v>
      </c>
      <c r="D86" s="956">
        <f>D85</f>
        <v>4</v>
      </c>
      <c r="E86" s="956"/>
      <c r="F86" s="961"/>
      <c r="G86" s="963"/>
    </row>
    <row r="87" spans="1:198" s="964" customFormat="1" ht="28.8">
      <c r="A87" s="995" t="s">
        <v>1230</v>
      </c>
      <c r="B87" s="956" t="s">
        <v>1202</v>
      </c>
      <c r="C87" s="956" t="s">
        <v>9</v>
      </c>
      <c r="D87" s="956">
        <f>D82</f>
        <v>32</v>
      </c>
      <c r="E87" s="956"/>
      <c r="F87" s="961"/>
      <c r="G87" s="963"/>
    </row>
    <row r="88" spans="1:198" s="964" customFormat="1">
      <c r="A88" s="998"/>
      <c r="B88" s="900"/>
      <c r="C88" s="900"/>
      <c r="D88" s="900"/>
      <c r="E88" s="900"/>
      <c r="F88" s="961"/>
      <c r="G88" s="963"/>
    </row>
    <row r="89" spans="1:198" s="964" customFormat="1">
      <c r="A89" s="998"/>
      <c r="B89" s="900" t="s">
        <v>1113</v>
      </c>
      <c r="C89" s="900"/>
      <c r="D89" s="900"/>
      <c r="E89" s="900"/>
      <c r="F89" s="962"/>
      <c r="G89" s="963"/>
    </row>
    <row r="90" spans="1:198" s="954" customFormat="1">
      <c r="A90" s="998"/>
      <c r="B90" s="900"/>
      <c r="C90" s="900"/>
      <c r="D90" s="900"/>
      <c r="E90" s="900"/>
      <c r="F90" s="962"/>
      <c r="G90" s="952"/>
      <c r="H90" s="953"/>
      <c r="I90" s="953"/>
      <c r="J90" s="953"/>
      <c r="K90" s="953"/>
      <c r="L90" s="953"/>
      <c r="M90" s="953"/>
      <c r="N90" s="953"/>
      <c r="O90" s="953"/>
      <c r="P90" s="953"/>
      <c r="Q90" s="953"/>
      <c r="R90" s="953"/>
      <c r="S90" s="953"/>
      <c r="T90" s="953"/>
      <c r="U90" s="953"/>
      <c r="V90" s="953"/>
      <c r="W90" s="953"/>
      <c r="X90" s="953"/>
      <c r="Y90" s="953"/>
      <c r="Z90" s="953"/>
      <c r="AA90" s="953"/>
      <c r="AB90" s="953"/>
      <c r="AC90" s="953"/>
      <c r="AD90" s="953"/>
      <c r="AE90" s="953"/>
      <c r="AF90" s="953"/>
      <c r="AG90" s="953"/>
      <c r="AH90" s="953"/>
      <c r="AI90" s="953"/>
      <c r="AJ90" s="953"/>
      <c r="AK90" s="953"/>
      <c r="AL90" s="953"/>
      <c r="AM90" s="953"/>
      <c r="AN90" s="953"/>
      <c r="AO90" s="953"/>
      <c r="AP90" s="953"/>
      <c r="AQ90" s="953"/>
      <c r="AR90" s="953"/>
      <c r="AS90" s="953"/>
      <c r="AT90" s="953"/>
      <c r="AU90" s="953"/>
      <c r="AV90" s="953"/>
      <c r="AW90" s="953"/>
      <c r="AX90" s="953"/>
      <c r="AY90" s="953"/>
      <c r="AZ90" s="953"/>
      <c r="BA90" s="953"/>
      <c r="BB90" s="953"/>
      <c r="BC90" s="953"/>
      <c r="BD90" s="953"/>
      <c r="BE90" s="953"/>
      <c r="BF90" s="953"/>
      <c r="BG90" s="953"/>
      <c r="BH90" s="953"/>
      <c r="BI90" s="953"/>
      <c r="BJ90" s="953"/>
      <c r="BK90" s="953"/>
      <c r="BL90" s="953"/>
      <c r="BM90" s="953"/>
      <c r="BN90" s="953"/>
      <c r="BO90" s="953"/>
      <c r="BP90" s="953"/>
      <c r="BQ90" s="953"/>
      <c r="BR90" s="953"/>
      <c r="BS90" s="953"/>
      <c r="BT90" s="953"/>
      <c r="BU90" s="953"/>
      <c r="BV90" s="953"/>
      <c r="BW90" s="953"/>
      <c r="BX90" s="953"/>
      <c r="BY90" s="953"/>
      <c r="BZ90" s="953"/>
      <c r="CA90" s="953"/>
      <c r="CB90" s="953"/>
      <c r="CC90" s="953"/>
      <c r="CD90" s="953"/>
      <c r="CE90" s="953"/>
      <c r="CF90" s="953"/>
      <c r="CG90" s="953"/>
      <c r="CH90" s="953"/>
      <c r="CI90" s="953"/>
      <c r="CJ90" s="953"/>
      <c r="CK90" s="953"/>
      <c r="CL90" s="953"/>
      <c r="CM90" s="953"/>
      <c r="CN90" s="953"/>
      <c r="CO90" s="953"/>
      <c r="CP90" s="953"/>
      <c r="CQ90" s="953"/>
      <c r="CR90" s="953"/>
      <c r="CS90" s="953"/>
      <c r="CT90" s="953"/>
      <c r="CU90" s="953"/>
      <c r="CV90" s="953"/>
      <c r="CW90" s="953"/>
      <c r="CX90" s="953"/>
      <c r="CY90" s="953"/>
      <c r="CZ90" s="953"/>
      <c r="DA90" s="953"/>
      <c r="DB90" s="953"/>
      <c r="DC90" s="953"/>
      <c r="DD90" s="953"/>
      <c r="DE90" s="953"/>
      <c r="DF90" s="953"/>
      <c r="DG90" s="953"/>
      <c r="DH90" s="953"/>
      <c r="DI90" s="953"/>
      <c r="DJ90" s="953"/>
      <c r="DK90" s="953"/>
      <c r="DL90" s="953"/>
      <c r="DM90" s="953"/>
      <c r="DN90" s="953"/>
      <c r="DO90" s="953"/>
      <c r="DP90" s="953"/>
      <c r="DQ90" s="953"/>
      <c r="DR90" s="953"/>
      <c r="DS90" s="953"/>
      <c r="DT90" s="953"/>
      <c r="DU90" s="953"/>
      <c r="DV90" s="953"/>
      <c r="DW90" s="953"/>
      <c r="DX90" s="953"/>
      <c r="DY90" s="953"/>
      <c r="DZ90" s="953"/>
      <c r="EA90" s="953"/>
      <c r="EB90" s="953"/>
      <c r="EC90" s="953"/>
      <c r="ED90" s="953"/>
      <c r="EE90" s="953"/>
      <c r="EF90" s="953"/>
      <c r="EG90" s="953"/>
      <c r="EH90" s="953"/>
      <c r="EI90" s="953"/>
      <c r="EJ90" s="953"/>
      <c r="EK90" s="953"/>
      <c r="EL90" s="953"/>
      <c r="EM90" s="953"/>
      <c r="EN90" s="953"/>
      <c r="EO90" s="953"/>
      <c r="EP90" s="953"/>
      <c r="EQ90" s="953"/>
      <c r="ER90" s="953"/>
      <c r="ES90" s="953"/>
      <c r="ET90" s="953"/>
      <c r="EU90" s="953"/>
      <c r="EV90" s="953"/>
      <c r="EW90" s="953"/>
      <c r="EX90" s="953"/>
      <c r="EY90" s="953"/>
      <c r="EZ90" s="953"/>
      <c r="FA90" s="953"/>
      <c r="FB90" s="953"/>
      <c r="FC90" s="953"/>
      <c r="FD90" s="953"/>
      <c r="FE90" s="953"/>
      <c r="FF90" s="953"/>
      <c r="FG90" s="953"/>
      <c r="FH90" s="953"/>
      <c r="FI90" s="953"/>
      <c r="FJ90" s="953"/>
      <c r="FK90" s="953"/>
      <c r="FL90" s="953"/>
      <c r="FM90" s="953"/>
      <c r="FN90" s="953"/>
      <c r="FO90" s="953"/>
      <c r="FP90" s="953"/>
      <c r="FQ90" s="953"/>
      <c r="FR90" s="953"/>
      <c r="FS90" s="953"/>
      <c r="FT90" s="953"/>
      <c r="FU90" s="953"/>
      <c r="FV90" s="953"/>
      <c r="FW90" s="953"/>
      <c r="FX90" s="953"/>
      <c r="FY90" s="953"/>
      <c r="FZ90" s="953"/>
      <c r="GA90" s="953"/>
      <c r="GB90" s="953"/>
      <c r="GC90" s="953"/>
      <c r="GD90" s="953"/>
      <c r="GE90" s="953"/>
      <c r="GF90" s="953"/>
      <c r="GG90" s="953"/>
      <c r="GH90" s="953"/>
      <c r="GI90" s="953"/>
      <c r="GJ90" s="953"/>
      <c r="GK90" s="953"/>
      <c r="GL90" s="953"/>
      <c r="GM90" s="953"/>
      <c r="GN90" s="953"/>
      <c r="GO90" s="953"/>
      <c r="GP90" s="953"/>
    </row>
    <row r="91" spans="1:198" s="959" customFormat="1">
      <c r="A91" s="998"/>
      <c r="B91" s="900"/>
      <c r="C91" s="900"/>
      <c r="D91" s="900"/>
      <c r="E91" s="900"/>
      <c r="F91" s="962"/>
      <c r="G91" s="958"/>
    </row>
    <row r="92" spans="1:198" s="959" customFormat="1">
      <c r="A92" s="998"/>
      <c r="B92" s="900"/>
      <c r="C92" s="900"/>
      <c r="D92" s="900"/>
      <c r="E92" s="900"/>
      <c r="F92" s="962"/>
      <c r="G92" s="958"/>
    </row>
    <row r="93" spans="1:198" s="959" customFormat="1">
      <c r="A93" s="999">
        <v>6.5</v>
      </c>
      <c r="B93" s="942" t="s">
        <v>1114</v>
      </c>
      <c r="C93" s="965"/>
      <c r="D93" s="965"/>
      <c r="E93" s="944"/>
      <c r="F93" s="961"/>
      <c r="G93" s="958"/>
    </row>
    <row r="94" spans="1:198" s="959" customFormat="1" ht="28.8">
      <c r="A94" s="1000" t="s">
        <v>859</v>
      </c>
      <c r="B94" s="956" t="s">
        <v>710</v>
      </c>
      <c r="C94" s="966" t="s">
        <v>305</v>
      </c>
      <c r="D94" s="966">
        <v>1</v>
      </c>
      <c r="E94" s="966"/>
      <c r="F94" s="961"/>
      <c r="G94" s="958"/>
    </row>
    <row r="95" spans="1:198" s="959" customFormat="1" ht="28.8">
      <c r="A95" s="1000" t="s">
        <v>1240</v>
      </c>
      <c r="B95" s="956" t="s">
        <v>614</v>
      </c>
      <c r="C95" s="966" t="s">
        <v>9</v>
      </c>
      <c r="D95" s="966">
        <f>CEILING(6*D94,1)</f>
        <v>6</v>
      </c>
      <c r="E95" s="966"/>
      <c r="F95" s="961"/>
      <c r="G95" s="958"/>
    </row>
    <row r="96" spans="1:198" s="959" customFormat="1">
      <c r="A96" s="1000" t="s">
        <v>1241</v>
      </c>
      <c r="B96" s="956" t="s">
        <v>615</v>
      </c>
      <c r="C96" s="966" t="s">
        <v>9</v>
      </c>
      <c r="D96" s="966">
        <f>D95*2</f>
        <v>12</v>
      </c>
      <c r="E96" s="966"/>
      <c r="F96" s="961"/>
      <c r="G96" s="958"/>
    </row>
    <row r="97" spans="1:198" s="959" customFormat="1">
      <c r="A97" s="1000" t="s">
        <v>1242</v>
      </c>
      <c r="B97" s="956" t="s">
        <v>616</v>
      </c>
      <c r="C97" s="966" t="s">
        <v>9</v>
      </c>
      <c r="D97" s="966">
        <f>D96</f>
        <v>12</v>
      </c>
      <c r="E97" s="966"/>
      <c r="F97" s="961"/>
      <c r="G97" s="958"/>
    </row>
    <row r="98" spans="1:198" s="970" customFormat="1">
      <c r="A98" s="1000" t="s">
        <v>11</v>
      </c>
      <c r="B98" s="900" t="s">
        <v>617</v>
      </c>
      <c r="C98" s="966" t="s">
        <v>11</v>
      </c>
      <c r="D98" s="966" t="s">
        <v>11</v>
      </c>
      <c r="E98" s="966"/>
      <c r="F98" s="961"/>
      <c r="G98" s="969"/>
    </row>
    <row r="99" spans="1:198" s="959" customFormat="1" ht="28.8">
      <c r="A99" s="1000" t="s">
        <v>1243</v>
      </c>
      <c r="B99" s="956" t="s">
        <v>618</v>
      </c>
      <c r="C99" s="966" t="s">
        <v>11</v>
      </c>
      <c r="D99" s="966" t="s">
        <v>11</v>
      </c>
      <c r="E99" s="966"/>
      <c r="F99" s="961"/>
      <c r="G99" s="958"/>
    </row>
    <row r="100" spans="1:198" s="959" customFormat="1">
      <c r="A100" s="1000" t="s">
        <v>1244</v>
      </c>
      <c r="B100" s="956" t="s">
        <v>619</v>
      </c>
      <c r="C100" s="966" t="s">
        <v>305</v>
      </c>
      <c r="D100" s="966">
        <f>SUM(D94:D94)</f>
        <v>1</v>
      </c>
      <c r="E100" s="966"/>
      <c r="F100" s="961"/>
      <c r="G100" s="958"/>
    </row>
    <row r="101" spans="1:198" s="959" customFormat="1">
      <c r="A101" s="1000" t="s">
        <v>1245</v>
      </c>
      <c r="B101" s="894" t="s">
        <v>620</v>
      </c>
      <c r="C101" s="967" t="s">
        <v>621</v>
      </c>
      <c r="D101" s="967">
        <f>D94*2*3/2</f>
        <v>3</v>
      </c>
      <c r="E101" s="967"/>
      <c r="F101" s="968"/>
      <c r="G101" s="958"/>
    </row>
    <row r="102" spans="1:198" s="959" customFormat="1">
      <c r="A102" s="1000" t="s">
        <v>1246</v>
      </c>
      <c r="B102" s="956" t="s">
        <v>622</v>
      </c>
      <c r="C102" s="966" t="s">
        <v>305</v>
      </c>
      <c r="D102" s="966">
        <f>D100*2</f>
        <v>2</v>
      </c>
      <c r="E102" s="966"/>
      <c r="F102" s="961"/>
      <c r="G102" s="958"/>
    </row>
    <row r="103" spans="1:198" s="964" customFormat="1">
      <c r="A103" s="1000" t="s">
        <v>11</v>
      </c>
      <c r="B103" s="900" t="s">
        <v>623</v>
      </c>
      <c r="C103" s="966" t="s">
        <v>11</v>
      </c>
      <c r="D103" s="966" t="s">
        <v>11</v>
      </c>
      <c r="E103" s="966"/>
      <c r="F103" s="961"/>
      <c r="G103" s="963"/>
    </row>
    <row r="104" spans="1:198" s="964" customFormat="1" ht="28.8">
      <c r="A104" s="1000" t="s">
        <v>1247</v>
      </c>
      <c r="B104" s="956" t="s">
        <v>624</v>
      </c>
      <c r="C104" s="966" t="s">
        <v>329</v>
      </c>
      <c r="D104" s="966" t="s">
        <v>468</v>
      </c>
      <c r="E104" s="966"/>
      <c r="F104" s="961"/>
      <c r="G104" s="963"/>
    </row>
    <row r="105" spans="1:198" s="959" customFormat="1">
      <c r="A105" s="1000"/>
      <c r="B105" s="956"/>
      <c r="C105" s="966"/>
      <c r="D105" s="966"/>
      <c r="E105" s="966"/>
      <c r="F105" s="961"/>
      <c r="G105" s="958"/>
    </row>
    <row r="106" spans="1:198" s="959" customFormat="1">
      <c r="A106" s="1001"/>
      <c r="B106" s="955" t="s">
        <v>1115</v>
      </c>
      <c r="C106" s="971"/>
      <c r="D106" s="971"/>
      <c r="E106" s="971"/>
      <c r="F106" s="962"/>
      <c r="G106" s="958"/>
    </row>
    <row r="107" spans="1:198" s="948" customFormat="1">
      <c r="A107" s="1001"/>
      <c r="B107" s="955"/>
      <c r="C107" s="971"/>
      <c r="D107" s="971"/>
      <c r="E107" s="971"/>
      <c r="F107" s="962"/>
      <c r="G107" s="946"/>
      <c r="H107" s="947"/>
      <c r="I107" s="947"/>
      <c r="J107" s="947"/>
      <c r="K107" s="947"/>
      <c r="L107" s="947"/>
      <c r="M107" s="947"/>
      <c r="N107" s="947"/>
      <c r="O107" s="947"/>
      <c r="P107" s="947"/>
      <c r="Q107" s="947"/>
      <c r="R107" s="947"/>
      <c r="S107" s="947"/>
      <c r="T107" s="947"/>
      <c r="U107" s="947"/>
      <c r="V107" s="947"/>
      <c r="W107" s="947"/>
      <c r="X107" s="947"/>
      <c r="Y107" s="947"/>
      <c r="Z107" s="947"/>
      <c r="AA107" s="947"/>
      <c r="AB107" s="947"/>
      <c r="AC107" s="947"/>
      <c r="AD107" s="947"/>
      <c r="AE107" s="947"/>
      <c r="AF107" s="947"/>
      <c r="AG107" s="947"/>
      <c r="AH107" s="947"/>
      <c r="AI107" s="947"/>
      <c r="AJ107" s="947"/>
      <c r="AK107" s="947"/>
      <c r="AL107" s="947"/>
      <c r="AM107" s="947"/>
      <c r="AN107" s="947"/>
      <c r="AO107" s="947"/>
      <c r="AP107" s="947"/>
      <c r="AQ107" s="947"/>
      <c r="AR107" s="947"/>
      <c r="AS107" s="947"/>
      <c r="AT107" s="947"/>
      <c r="AU107" s="947"/>
      <c r="AV107" s="947"/>
      <c r="AW107" s="947"/>
      <c r="AX107" s="947"/>
      <c r="AY107" s="947"/>
      <c r="AZ107" s="947"/>
      <c r="BA107" s="947"/>
      <c r="BB107" s="947"/>
      <c r="BC107" s="947"/>
      <c r="BD107" s="947"/>
      <c r="BE107" s="947"/>
      <c r="BF107" s="947"/>
      <c r="BG107" s="947"/>
      <c r="BH107" s="947"/>
      <c r="BI107" s="947"/>
      <c r="BJ107" s="947"/>
      <c r="BK107" s="947"/>
      <c r="BL107" s="947"/>
      <c r="BM107" s="947"/>
      <c r="BN107" s="947"/>
      <c r="BO107" s="947"/>
      <c r="BP107" s="947"/>
      <c r="BQ107" s="947"/>
      <c r="BR107" s="947"/>
      <c r="BS107" s="947"/>
      <c r="BT107" s="947"/>
      <c r="BU107" s="947"/>
      <c r="BV107" s="947"/>
      <c r="BW107" s="947"/>
      <c r="BX107" s="947"/>
      <c r="BY107" s="947"/>
      <c r="BZ107" s="947"/>
      <c r="CA107" s="947"/>
      <c r="CB107" s="947"/>
      <c r="CC107" s="947"/>
      <c r="CD107" s="947"/>
      <c r="CE107" s="947"/>
      <c r="CF107" s="947"/>
      <c r="CG107" s="947"/>
      <c r="CH107" s="947"/>
      <c r="CI107" s="947"/>
      <c r="CJ107" s="947"/>
      <c r="CK107" s="947"/>
      <c r="CL107" s="947"/>
      <c r="CM107" s="947"/>
      <c r="CN107" s="947"/>
      <c r="CO107" s="947"/>
      <c r="CP107" s="947"/>
      <c r="CQ107" s="947"/>
      <c r="CR107" s="947"/>
      <c r="CS107" s="947"/>
      <c r="CT107" s="947"/>
      <c r="CU107" s="947"/>
      <c r="CV107" s="947"/>
      <c r="CW107" s="947"/>
      <c r="CX107" s="947"/>
      <c r="CY107" s="947"/>
      <c r="CZ107" s="947"/>
      <c r="DA107" s="947"/>
      <c r="DB107" s="947"/>
      <c r="DC107" s="947"/>
      <c r="DD107" s="947"/>
      <c r="DE107" s="947"/>
      <c r="DF107" s="947"/>
      <c r="DG107" s="947"/>
      <c r="DH107" s="947"/>
      <c r="DI107" s="947"/>
      <c r="DJ107" s="947"/>
      <c r="DK107" s="947"/>
      <c r="DL107" s="947"/>
      <c r="DM107" s="947"/>
      <c r="DN107" s="947"/>
      <c r="DO107" s="947"/>
      <c r="DP107" s="947"/>
      <c r="DQ107" s="947"/>
      <c r="DR107" s="947"/>
      <c r="DS107" s="947"/>
      <c r="DT107" s="947"/>
      <c r="DU107" s="947"/>
      <c r="DV107" s="947"/>
      <c r="DW107" s="947"/>
      <c r="DX107" s="947"/>
      <c r="DY107" s="947"/>
      <c r="DZ107" s="947"/>
      <c r="EA107" s="947"/>
      <c r="EB107" s="947"/>
      <c r="EC107" s="947"/>
      <c r="ED107" s="947"/>
      <c r="EE107" s="947"/>
      <c r="EF107" s="947"/>
      <c r="EG107" s="947"/>
      <c r="EH107" s="947"/>
      <c r="EI107" s="947"/>
      <c r="EJ107" s="947"/>
      <c r="EK107" s="947"/>
      <c r="EL107" s="947"/>
      <c r="EM107" s="947"/>
      <c r="EN107" s="947"/>
      <c r="EO107" s="947"/>
      <c r="EP107" s="947"/>
      <c r="EQ107" s="947"/>
      <c r="ER107" s="947"/>
      <c r="ES107" s="947"/>
      <c r="ET107" s="947"/>
      <c r="EU107" s="947"/>
      <c r="EV107" s="947"/>
      <c r="EW107" s="947"/>
      <c r="EX107" s="947"/>
      <c r="EY107" s="947"/>
      <c r="EZ107" s="947"/>
      <c r="FA107" s="947"/>
      <c r="FB107" s="947"/>
      <c r="FC107" s="947"/>
      <c r="FD107" s="947"/>
      <c r="FE107" s="947"/>
      <c r="FF107" s="947"/>
      <c r="FG107" s="947"/>
      <c r="FH107" s="947"/>
      <c r="FI107" s="947"/>
      <c r="FJ107" s="947"/>
      <c r="FK107" s="947"/>
      <c r="FL107" s="947"/>
      <c r="FM107" s="947"/>
      <c r="FN107" s="947"/>
      <c r="FO107" s="947"/>
      <c r="FP107" s="947"/>
      <c r="FQ107" s="947"/>
      <c r="FR107" s="947"/>
      <c r="FS107" s="947"/>
      <c r="FT107" s="947"/>
      <c r="FU107" s="947"/>
      <c r="FV107" s="947"/>
      <c r="FW107" s="947"/>
      <c r="FX107" s="947"/>
      <c r="FY107" s="947"/>
      <c r="FZ107" s="947"/>
      <c r="GA107" s="947"/>
      <c r="GB107" s="947"/>
      <c r="GC107" s="947"/>
      <c r="GD107" s="947"/>
      <c r="GE107" s="947"/>
      <c r="GF107" s="947"/>
      <c r="GG107" s="947"/>
      <c r="GH107" s="947"/>
      <c r="GI107" s="947"/>
      <c r="GJ107" s="947"/>
      <c r="GK107" s="947"/>
      <c r="GL107" s="947"/>
      <c r="GM107" s="947"/>
      <c r="GN107" s="947"/>
      <c r="GO107" s="947"/>
      <c r="GP107" s="947"/>
    </row>
    <row r="108" spans="1:198" s="954" customFormat="1">
      <c r="A108" s="1000"/>
      <c r="B108" s="956"/>
      <c r="C108" s="966"/>
      <c r="D108" s="966"/>
      <c r="E108" s="966"/>
      <c r="F108" s="961"/>
      <c r="G108" s="952"/>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3"/>
      <c r="AU108" s="953"/>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3"/>
      <c r="EA108" s="953"/>
      <c r="EB108" s="953"/>
      <c r="EC108" s="953"/>
      <c r="ED108" s="953"/>
      <c r="EE108" s="953"/>
      <c r="EF108" s="953"/>
      <c r="EG108" s="953"/>
      <c r="EH108" s="953"/>
      <c r="EI108" s="953"/>
      <c r="EJ108" s="953"/>
      <c r="EK108" s="953"/>
      <c r="EL108" s="953"/>
      <c r="EM108" s="953"/>
      <c r="EN108" s="953"/>
      <c r="EO108" s="953"/>
      <c r="EP108" s="953"/>
      <c r="EQ108" s="953"/>
      <c r="ER108" s="953"/>
      <c r="ES108" s="953"/>
      <c r="ET108" s="953"/>
      <c r="EU108" s="953"/>
      <c r="EV108" s="953"/>
      <c r="EW108" s="953"/>
      <c r="EX108" s="953"/>
      <c r="EY108" s="953"/>
      <c r="EZ108" s="953"/>
      <c r="FA108" s="953"/>
      <c r="FB108" s="953"/>
      <c r="FC108" s="953"/>
      <c r="FD108" s="953"/>
      <c r="FE108" s="953"/>
      <c r="FF108" s="953"/>
      <c r="FG108" s="953"/>
      <c r="FH108" s="953"/>
      <c r="FI108" s="953"/>
      <c r="FJ108" s="953"/>
      <c r="FK108" s="953"/>
      <c r="FL108" s="953"/>
      <c r="FM108" s="953"/>
      <c r="FN108" s="953"/>
      <c r="FO108" s="953"/>
      <c r="FP108" s="953"/>
      <c r="FQ108" s="953"/>
      <c r="FR108" s="953"/>
      <c r="FS108" s="953"/>
      <c r="FT108" s="953"/>
      <c r="FU108" s="953"/>
      <c r="FV108" s="953"/>
      <c r="FW108" s="953"/>
      <c r="FX108" s="953"/>
      <c r="FY108" s="953"/>
      <c r="FZ108" s="953"/>
      <c r="GA108" s="953"/>
      <c r="GB108" s="953"/>
      <c r="GC108" s="953"/>
      <c r="GD108" s="953"/>
      <c r="GE108" s="953"/>
      <c r="GF108" s="953"/>
      <c r="GG108" s="953"/>
      <c r="GH108" s="953"/>
      <c r="GI108" s="953"/>
      <c r="GJ108" s="953"/>
      <c r="GK108" s="953"/>
      <c r="GL108" s="953"/>
      <c r="GM108" s="953"/>
      <c r="GN108" s="953"/>
      <c r="GO108" s="953"/>
      <c r="GP108" s="953"/>
    </row>
    <row r="109" spans="1:198" s="932" customFormat="1">
      <c r="A109" s="1000"/>
      <c r="B109" s="956"/>
      <c r="C109" s="966"/>
      <c r="D109" s="966"/>
      <c r="E109" s="966"/>
      <c r="F109" s="961"/>
    </row>
    <row r="110" spans="1:198" s="964" customFormat="1">
      <c r="A110" s="994">
        <v>6.6</v>
      </c>
      <c r="B110" s="942" t="s">
        <v>1116</v>
      </c>
      <c r="C110" s="943"/>
      <c r="D110" s="965"/>
      <c r="E110" s="944"/>
      <c r="F110" s="961"/>
      <c r="G110" s="963"/>
    </row>
    <row r="111" spans="1:198" s="964" customFormat="1" ht="28.8">
      <c r="A111" s="996" t="s">
        <v>860</v>
      </c>
      <c r="B111" s="960" t="s">
        <v>625</v>
      </c>
      <c r="C111" s="949" t="s">
        <v>304</v>
      </c>
      <c r="D111" s="941">
        <v>5</v>
      </c>
      <c r="E111" s="950"/>
      <c r="F111" s="961"/>
      <c r="G111" s="963"/>
    </row>
    <row r="112" spans="1:198" s="964" customFormat="1">
      <c r="A112" s="915"/>
      <c r="B112" s="862"/>
      <c r="C112" s="924"/>
      <c r="D112" s="860"/>
      <c r="E112" s="858"/>
      <c r="F112" s="926"/>
      <c r="G112" s="963"/>
    </row>
    <row r="113" spans="1:7" s="964" customFormat="1">
      <c r="A113" s="1002"/>
      <c r="B113" s="972" t="s">
        <v>1117</v>
      </c>
      <c r="C113" s="901"/>
      <c r="D113" s="899"/>
      <c r="E113" s="899"/>
      <c r="F113" s="962"/>
      <c r="G113" s="963"/>
    </row>
    <row r="114" spans="1:7" s="964" customFormat="1">
      <c r="A114" s="1002"/>
      <c r="B114" s="972"/>
      <c r="C114" s="901"/>
      <c r="D114" s="899"/>
      <c r="E114" s="899"/>
      <c r="F114" s="962"/>
      <c r="G114" s="963"/>
    </row>
    <row r="115" spans="1:7" s="932" customFormat="1">
      <c r="A115" s="927">
        <v>6.7</v>
      </c>
      <c r="B115" s="852" t="s">
        <v>1118</v>
      </c>
      <c r="C115" s="858"/>
      <c r="D115" s="860"/>
      <c r="E115" s="858"/>
      <c r="F115" s="916"/>
    </row>
    <row r="116" spans="1:7" s="932" customFormat="1">
      <c r="A116" s="915"/>
      <c r="B116" s="865" t="s">
        <v>299</v>
      </c>
      <c r="C116" s="858"/>
      <c r="D116" s="860"/>
      <c r="E116" s="858"/>
      <c r="F116" s="916"/>
    </row>
    <row r="117" spans="1:7" s="932" customFormat="1">
      <c r="A117" s="915"/>
      <c r="B117" s="865" t="s">
        <v>1119</v>
      </c>
      <c r="C117" s="858"/>
      <c r="D117" s="860"/>
      <c r="E117" s="858"/>
      <c r="F117" s="916"/>
    </row>
    <row r="118" spans="1:7" s="932" customFormat="1">
      <c r="A118" s="915" t="s">
        <v>861</v>
      </c>
      <c r="B118" s="863" t="s">
        <v>300</v>
      </c>
      <c r="C118" s="858" t="s">
        <v>8</v>
      </c>
      <c r="D118" s="860">
        <f>CEILING(26*2,1)</f>
        <v>52</v>
      </c>
      <c r="E118" s="858"/>
      <c r="F118" s="916"/>
    </row>
    <row r="119" spans="1:7" s="932" customFormat="1">
      <c r="A119" s="915"/>
      <c r="B119" s="865" t="s">
        <v>1120</v>
      </c>
      <c r="C119" s="858"/>
      <c r="D119" s="860"/>
      <c r="E119" s="858"/>
      <c r="F119" s="916"/>
    </row>
    <row r="120" spans="1:7" s="932" customFormat="1">
      <c r="A120" s="915" t="s">
        <v>865</v>
      </c>
      <c r="B120" s="863" t="s">
        <v>1121</v>
      </c>
      <c r="C120" s="858" t="s">
        <v>8</v>
      </c>
      <c r="D120" s="860">
        <f>CEILING(27.6*2,1)</f>
        <v>56</v>
      </c>
      <c r="E120" s="858"/>
      <c r="F120" s="916"/>
    </row>
    <row r="121" spans="1:7" s="932" customFormat="1">
      <c r="A121" s="915"/>
      <c r="B121" s="852"/>
      <c r="C121" s="858"/>
      <c r="D121" s="860"/>
      <c r="E121" s="858"/>
      <c r="F121" s="916"/>
    </row>
    <row r="122" spans="1:7" s="932" customFormat="1">
      <c r="A122" s="915"/>
      <c r="B122" s="852" t="s">
        <v>301</v>
      </c>
      <c r="C122" s="858"/>
      <c r="D122" s="860"/>
      <c r="E122" s="858"/>
      <c r="F122" s="916"/>
    </row>
    <row r="123" spans="1:7" s="932" customFormat="1">
      <c r="A123" s="915"/>
      <c r="B123" s="865" t="s">
        <v>302</v>
      </c>
      <c r="C123" s="858"/>
      <c r="D123" s="860"/>
      <c r="E123" s="858"/>
      <c r="F123" s="916"/>
    </row>
    <row r="124" spans="1:7" s="932" customFormat="1">
      <c r="A124" s="915" t="s">
        <v>866</v>
      </c>
      <c r="B124" s="863" t="s">
        <v>1122</v>
      </c>
      <c r="C124" s="858" t="s">
        <v>8</v>
      </c>
      <c r="D124" s="860">
        <f>D13</f>
        <v>48</v>
      </c>
      <c r="E124" s="858"/>
      <c r="F124" s="916"/>
    </row>
    <row r="125" spans="1:7" s="872" customFormat="1">
      <c r="A125" s="915" t="s">
        <v>867</v>
      </c>
      <c r="B125" s="863" t="s">
        <v>1123</v>
      </c>
      <c r="C125" s="858" t="s">
        <v>9</v>
      </c>
      <c r="D125" s="860">
        <v>26</v>
      </c>
      <c r="E125" s="858"/>
      <c r="F125" s="916"/>
    </row>
    <row r="126" spans="1:7" s="872" customFormat="1">
      <c r="A126" s="915"/>
      <c r="B126" s="852" t="s">
        <v>1124</v>
      </c>
      <c r="C126" s="858"/>
      <c r="D126" s="860"/>
      <c r="E126" s="858"/>
      <c r="F126" s="916"/>
    </row>
    <row r="127" spans="1:7" s="872" customFormat="1">
      <c r="A127" s="915"/>
      <c r="B127" s="852" t="s">
        <v>1125</v>
      </c>
      <c r="C127" s="858"/>
      <c r="D127" s="860"/>
      <c r="E127" s="858"/>
      <c r="F127" s="916"/>
    </row>
    <row r="128" spans="1:7" s="932" customFormat="1">
      <c r="A128" s="915" t="s">
        <v>1231</v>
      </c>
      <c r="B128" s="863" t="s">
        <v>1126</v>
      </c>
      <c r="C128" s="858" t="s">
        <v>8</v>
      </c>
      <c r="D128" s="860">
        <f>D124</f>
        <v>48</v>
      </c>
      <c r="E128" s="860"/>
      <c r="F128" s="929"/>
    </row>
    <row r="129" spans="1:7" s="932" customFormat="1">
      <c r="A129" s="915" t="s">
        <v>1232</v>
      </c>
      <c r="B129" s="863" t="s">
        <v>1127</v>
      </c>
      <c r="C129" s="858" t="s">
        <v>9</v>
      </c>
      <c r="D129" s="860">
        <f>CEILING(D128/0.6,1)</f>
        <v>80</v>
      </c>
      <c r="E129" s="860"/>
      <c r="F129" s="929"/>
    </row>
    <row r="130" spans="1:7" s="932" customFormat="1">
      <c r="A130" s="915" t="s">
        <v>1233</v>
      </c>
      <c r="B130" s="863" t="s">
        <v>1128</v>
      </c>
      <c r="C130" s="858" t="s">
        <v>8</v>
      </c>
      <c r="D130" s="860">
        <f>D128</f>
        <v>48</v>
      </c>
      <c r="E130" s="860"/>
      <c r="F130" s="929"/>
    </row>
    <row r="131" spans="1:7" s="932" customFormat="1">
      <c r="A131" s="915"/>
      <c r="B131" s="852" t="s">
        <v>303</v>
      </c>
      <c r="C131" s="858"/>
      <c r="D131" s="860"/>
      <c r="E131" s="858"/>
      <c r="F131" s="916"/>
    </row>
    <row r="132" spans="1:7" s="932" customFormat="1">
      <c r="A132" s="915"/>
      <c r="B132" s="852" t="s">
        <v>1129</v>
      </c>
      <c r="C132" s="858"/>
      <c r="D132" s="860"/>
      <c r="E132" s="858"/>
      <c r="F132" s="916"/>
    </row>
    <row r="133" spans="1:7" s="932" customFormat="1">
      <c r="A133" s="915"/>
      <c r="B133" s="852" t="s">
        <v>1130</v>
      </c>
      <c r="C133" s="858"/>
      <c r="D133" s="860"/>
      <c r="E133" s="858"/>
      <c r="F133" s="916"/>
    </row>
    <row r="134" spans="1:7" s="932" customFormat="1">
      <c r="A134" s="915" t="s">
        <v>1234</v>
      </c>
      <c r="B134" s="863" t="s">
        <v>1131</v>
      </c>
      <c r="C134" s="858" t="s">
        <v>8</v>
      </c>
      <c r="D134" s="860">
        <f>D118</f>
        <v>52</v>
      </c>
      <c r="E134" s="858"/>
      <c r="F134" s="916"/>
    </row>
    <row r="135" spans="1:7" s="932" customFormat="1">
      <c r="A135" s="915"/>
      <c r="B135" s="852" t="s">
        <v>1132</v>
      </c>
      <c r="C135" s="858"/>
      <c r="D135" s="860"/>
      <c r="E135" s="858"/>
      <c r="F135" s="916"/>
    </row>
    <row r="136" spans="1:7" s="964" customFormat="1">
      <c r="A136" s="915"/>
      <c r="B136" s="852" t="s">
        <v>1133</v>
      </c>
      <c r="C136" s="858"/>
      <c r="D136" s="860"/>
      <c r="E136" s="858"/>
      <c r="F136" s="916"/>
      <c r="G136" s="963"/>
    </row>
    <row r="137" spans="1:7" s="964" customFormat="1">
      <c r="A137" s="915" t="s">
        <v>1235</v>
      </c>
      <c r="B137" s="863" t="s">
        <v>1134</v>
      </c>
      <c r="C137" s="858" t="s">
        <v>8</v>
      </c>
      <c r="D137" s="860">
        <f>D120</f>
        <v>56</v>
      </c>
      <c r="E137" s="858"/>
      <c r="F137" s="916"/>
      <c r="G137" s="963"/>
    </row>
    <row r="138" spans="1:7" s="964" customFormat="1">
      <c r="A138" s="915"/>
      <c r="B138" s="863"/>
      <c r="C138" s="858"/>
      <c r="D138" s="930"/>
      <c r="E138" s="858"/>
      <c r="F138" s="916"/>
      <c r="G138" s="963"/>
    </row>
    <row r="139" spans="1:7" s="964" customFormat="1">
      <c r="A139" s="1002"/>
      <c r="B139" s="972" t="s">
        <v>1203</v>
      </c>
      <c r="C139" s="899"/>
      <c r="D139" s="899"/>
      <c r="E139" s="899"/>
      <c r="F139" s="974"/>
      <c r="G139" s="963"/>
    </row>
    <row r="140" spans="1:7" s="964" customFormat="1">
      <c r="A140" s="1002"/>
      <c r="B140" s="899"/>
      <c r="C140" s="899"/>
      <c r="D140" s="899"/>
      <c r="E140" s="899"/>
      <c r="F140" s="973"/>
      <c r="G140" s="963"/>
    </row>
    <row r="141" spans="1:7" s="964" customFormat="1">
      <c r="A141" s="1002"/>
      <c r="B141" s="899"/>
      <c r="C141" s="899"/>
      <c r="D141" s="899"/>
      <c r="E141" s="899"/>
      <c r="F141" s="973"/>
      <c r="G141" s="963"/>
    </row>
    <row r="142" spans="1:7" s="964" customFormat="1">
      <c r="A142" s="1002"/>
      <c r="B142" s="899"/>
      <c r="C142" s="899"/>
      <c r="D142" s="899"/>
      <c r="E142" s="899"/>
      <c r="F142" s="973"/>
      <c r="G142" s="963"/>
    </row>
    <row r="143" spans="1:7" s="964" customFormat="1">
      <c r="A143" s="1002"/>
      <c r="B143" s="899"/>
      <c r="C143" s="899"/>
      <c r="D143" s="899"/>
      <c r="E143" s="899"/>
      <c r="F143" s="973"/>
      <c r="G143" s="963"/>
    </row>
    <row r="144" spans="1:7" s="964" customFormat="1">
      <c r="A144" s="1002"/>
      <c r="B144" s="899"/>
      <c r="C144" s="899"/>
      <c r="D144" s="899"/>
      <c r="E144" s="899"/>
      <c r="F144" s="973"/>
      <c r="G144" s="963"/>
    </row>
    <row r="145" spans="1:7" s="964" customFormat="1">
      <c r="A145" s="1002"/>
      <c r="B145" s="899"/>
      <c r="C145" s="899"/>
      <c r="D145" s="899"/>
      <c r="E145" s="899"/>
      <c r="F145" s="973"/>
      <c r="G145" s="963"/>
    </row>
    <row r="146" spans="1:7" s="964" customFormat="1">
      <c r="A146" s="1002"/>
      <c r="B146" s="899"/>
      <c r="C146" s="899"/>
      <c r="D146" s="899"/>
      <c r="E146" s="899"/>
      <c r="F146" s="973"/>
      <c r="G146" s="963"/>
    </row>
    <row r="147" spans="1:7" s="964" customFormat="1">
      <c r="A147" s="1002"/>
      <c r="B147" s="899"/>
      <c r="C147" s="899"/>
      <c r="D147" s="899"/>
      <c r="E147" s="899"/>
      <c r="F147" s="973"/>
      <c r="G147" s="963"/>
    </row>
    <row r="148" spans="1:7" s="964" customFormat="1">
      <c r="A148" s="1002"/>
      <c r="B148" s="899"/>
      <c r="C148" s="899"/>
      <c r="D148" s="899"/>
      <c r="E148" s="899"/>
      <c r="F148" s="973"/>
      <c r="G148" s="963"/>
    </row>
    <row r="149" spans="1:7" s="964" customFormat="1">
      <c r="A149" s="1002"/>
      <c r="B149" s="899"/>
      <c r="C149" s="899"/>
      <c r="D149" s="899"/>
      <c r="E149" s="899"/>
      <c r="F149" s="973"/>
      <c r="G149" s="963"/>
    </row>
    <row r="150" spans="1:7" s="964" customFormat="1">
      <c r="A150" s="1002"/>
      <c r="B150" s="899"/>
      <c r="C150" s="899"/>
      <c r="D150" s="899"/>
      <c r="E150" s="899"/>
      <c r="F150" s="973"/>
      <c r="G150" s="963"/>
    </row>
    <row r="151" spans="1:7" s="872" customFormat="1">
      <c r="A151" s="1002"/>
      <c r="B151" s="899"/>
      <c r="C151" s="899"/>
      <c r="D151" s="899"/>
      <c r="E151" s="899"/>
      <c r="F151" s="973"/>
      <c r="G151" s="871"/>
    </row>
    <row r="152" spans="1:7" s="938" customFormat="1">
      <c r="A152" s="1002"/>
      <c r="B152" s="899"/>
      <c r="C152" s="899"/>
      <c r="D152" s="899"/>
      <c r="E152" s="899"/>
      <c r="F152" s="975"/>
      <c r="G152" s="937"/>
    </row>
    <row r="153" spans="1:7" s="938" customFormat="1">
      <c r="A153" s="1002"/>
      <c r="B153" s="899"/>
      <c r="C153" s="899"/>
      <c r="D153" s="899"/>
      <c r="E153" s="899"/>
      <c r="F153" s="975"/>
      <c r="G153" s="937"/>
    </row>
    <row r="154" spans="1:7" s="977" customFormat="1">
      <c r="A154" s="917" t="s">
        <v>260</v>
      </c>
      <c r="B154" s="911" t="s">
        <v>13</v>
      </c>
      <c r="C154" s="912" t="s">
        <v>330</v>
      </c>
      <c r="D154" s="913" t="s">
        <v>331</v>
      </c>
      <c r="E154" s="914" t="s">
        <v>332</v>
      </c>
      <c r="F154" s="918"/>
      <c r="G154" s="976"/>
    </row>
    <row r="155" spans="1:7" s="970" customFormat="1">
      <c r="A155" s="1003"/>
      <c r="B155" s="879"/>
      <c r="C155" s="880"/>
      <c r="D155" s="875"/>
      <c r="E155" s="874"/>
      <c r="F155" s="881"/>
      <c r="G155" s="969"/>
    </row>
    <row r="156" spans="1:7" s="970" customFormat="1">
      <c r="A156" s="1002">
        <v>6.8</v>
      </c>
      <c r="B156" s="873" t="s">
        <v>1135</v>
      </c>
      <c r="C156" s="874"/>
      <c r="D156" s="875"/>
      <c r="E156" s="874"/>
      <c r="F156" s="876"/>
      <c r="G156" s="969"/>
    </row>
    <row r="157" spans="1:7" s="970" customFormat="1">
      <c r="A157" s="1004"/>
      <c r="B157" s="873" t="s">
        <v>310</v>
      </c>
      <c r="C157" s="877"/>
      <c r="D157" s="878"/>
      <c r="E157" s="877"/>
      <c r="F157" s="876"/>
      <c r="G157" s="969"/>
    </row>
    <row r="158" spans="1:7" s="970" customFormat="1" ht="43.2">
      <c r="A158" s="1003"/>
      <c r="B158" s="879" t="s">
        <v>467</v>
      </c>
      <c r="C158" s="880"/>
      <c r="D158" s="875"/>
      <c r="E158" s="874"/>
      <c r="F158" s="881"/>
      <c r="G158" s="969"/>
    </row>
    <row r="159" spans="1:7" s="970" customFormat="1">
      <c r="A159" s="1003" t="s">
        <v>863</v>
      </c>
      <c r="B159" s="882" t="s">
        <v>704</v>
      </c>
      <c r="C159" s="880" t="s">
        <v>10</v>
      </c>
      <c r="D159" s="875">
        <v>4</v>
      </c>
      <c r="E159" s="874"/>
      <c r="F159" s="881"/>
      <c r="G159" s="969"/>
    </row>
    <row r="160" spans="1:7" s="970" customFormat="1">
      <c r="A160" s="1003"/>
      <c r="B160" s="883" t="s">
        <v>311</v>
      </c>
      <c r="C160" s="880"/>
      <c r="D160" s="875"/>
      <c r="E160" s="874"/>
      <c r="F160" s="881"/>
      <c r="G160" s="969"/>
    </row>
    <row r="161" spans="1:7" s="970" customFormat="1">
      <c r="A161" s="1003" t="s">
        <v>864</v>
      </c>
      <c r="B161" s="882" t="s">
        <v>312</v>
      </c>
      <c r="C161" s="880" t="s">
        <v>304</v>
      </c>
      <c r="D161" s="875">
        <f>D159</f>
        <v>4</v>
      </c>
      <c r="E161" s="874"/>
      <c r="F161" s="881"/>
      <c r="G161" s="969"/>
    </row>
    <row r="162" spans="1:7" s="970" customFormat="1">
      <c r="A162" s="1003"/>
      <c r="B162" s="873" t="s">
        <v>313</v>
      </c>
      <c r="C162" s="874"/>
      <c r="D162" s="875"/>
      <c r="E162" s="874"/>
      <c r="F162" s="881"/>
      <c r="G162" s="969"/>
    </row>
    <row r="163" spans="1:7" s="970" customFormat="1" ht="86.4">
      <c r="A163" s="1003"/>
      <c r="B163" s="978" t="s">
        <v>631</v>
      </c>
      <c r="C163" s="880"/>
      <c r="D163" s="875"/>
      <c r="E163" s="874"/>
      <c r="F163" s="881"/>
      <c r="G163" s="969"/>
    </row>
    <row r="164" spans="1:7" s="970" customFormat="1">
      <c r="A164" s="1003"/>
      <c r="B164" s="884" t="s">
        <v>314</v>
      </c>
      <c r="C164" s="880"/>
      <c r="D164" s="875"/>
      <c r="E164" s="874"/>
      <c r="F164" s="881"/>
      <c r="G164" s="969"/>
    </row>
    <row r="165" spans="1:7" s="970" customFormat="1">
      <c r="A165" s="1003" t="s">
        <v>1236</v>
      </c>
      <c r="B165" s="884" t="s">
        <v>315</v>
      </c>
      <c r="C165" s="880" t="s">
        <v>304</v>
      </c>
      <c r="D165" s="875">
        <v>4</v>
      </c>
      <c r="E165" s="874"/>
      <c r="F165" s="881"/>
      <c r="G165" s="969"/>
    </row>
    <row r="166" spans="1:7" s="970" customFormat="1">
      <c r="A166" s="1003"/>
      <c r="B166" s="883" t="s">
        <v>316</v>
      </c>
      <c r="C166" s="874"/>
      <c r="D166" s="875"/>
      <c r="E166" s="874"/>
      <c r="F166" s="881"/>
      <c r="G166" s="969"/>
    </row>
    <row r="167" spans="1:7" s="970" customFormat="1" ht="57.6">
      <c r="A167" s="1003"/>
      <c r="B167" s="882" t="s">
        <v>705</v>
      </c>
      <c r="C167" s="880"/>
      <c r="D167" s="875"/>
      <c r="E167" s="874"/>
      <c r="F167" s="881"/>
      <c r="G167" s="969"/>
    </row>
    <row r="168" spans="1:7" s="970" customFormat="1">
      <c r="A168" s="1003" t="s">
        <v>1237</v>
      </c>
      <c r="B168" s="884" t="s">
        <v>317</v>
      </c>
      <c r="C168" s="880" t="s">
        <v>318</v>
      </c>
      <c r="D168" s="875">
        <f>CEILING(27.6*3,1)</f>
        <v>83</v>
      </c>
      <c r="E168" s="874"/>
      <c r="F168" s="881"/>
      <c r="G168" s="969"/>
    </row>
    <row r="169" spans="1:7" s="970" customFormat="1" ht="28.8">
      <c r="A169" s="939"/>
      <c r="B169" s="885" t="s">
        <v>706</v>
      </c>
      <c r="C169" s="886"/>
      <c r="D169" s="875"/>
      <c r="E169" s="874"/>
      <c r="F169" s="881"/>
      <c r="G169" s="969"/>
    </row>
    <row r="170" spans="1:7" s="970" customFormat="1">
      <c r="A170" s="939" t="s">
        <v>1238</v>
      </c>
      <c r="B170" s="887" t="s">
        <v>319</v>
      </c>
      <c r="C170" s="886" t="s">
        <v>320</v>
      </c>
      <c r="D170" s="875"/>
      <c r="E170" s="874"/>
      <c r="F170" s="881"/>
      <c r="G170" s="969"/>
    </row>
    <row r="171" spans="1:7" s="940" customFormat="1" ht="28.8">
      <c r="A171" s="939"/>
      <c r="B171" s="888" t="s">
        <v>707</v>
      </c>
      <c r="C171" s="880"/>
      <c r="D171" s="875"/>
      <c r="E171" s="874"/>
      <c r="F171" s="881"/>
      <c r="G171" s="976"/>
    </row>
    <row r="172" spans="1:7" s="940" customFormat="1" ht="57.6">
      <c r="A172" s="939" t="s">
        <v>1239</v>
      </c>
      <c r="B172" s="887" t="s">
        <v>632</v>
      </c>
      <c r="C172" s="886" t="s">
        <v>633</v>
      </c>
      <c r="D172" s="875"/>
      <c r="E172" s="874"/>
      <c r="F172" s="881"/>
      <c r="G172" s="976"/>
    </row>
    <row r="173" spans="1:7" s="940" customFormat="1">
      <c r="A173" s="939"/>
      <c r="B173" s="887"/>
      <c r="C173" s="886"/>
      <c r="D173" s="875"/>
      <c r="E173" s="874"/>
      <c r="F173" s="881"/>
      <c r="G173" s="976"/>
    </row>
    <row r="174" spans="1:7">
      <c r="A174" s="933"/>
      <c r="B174" s="890" t="s">
        <v>694</v>
      </c>
      <c r="C174" s="889"/>
      <c r="D174" s="878"/>
      <c r="E174" s="877"/>
      <c r="F174" s="891"/>
      <c r="G174" s="980"/>
    </row>
    <row r="175" spans="1:7">
      <c r="A175" s="933"/>
      <c r="B175" s="890"/>
      <c r="C175" s="889"/>
      <c r="D175" s="878"/>
      <c r="E175" s="877"/>
      <c r="F175" s="891"/>
      <c r="G175" s="980"/>
    </row>
    <row r="176" spans="1:7">
      <c r="A176" s="917" t="s">
        <v>260</v>
      </c>
      <c r="B176" s="911" t="s">
        <v>13</v>
      </c>
      <c r="C176" s="912" t="s">
        <v>330</v>
      </c>
      <c r="D176" s="913" t="s">
        <v>331</v>
      </c>
      <c r="E176" s="914" t="s">
        <v>332</v>
      </c>
      <c r="F176" s="918"/>
      <c r="G176" s="980"/>
    </row>
    <row r="177" spans="1:7" s="982" customFormat="1">
      <c r="A177" s="939"/>
      <c r="B177" s="885"/>
      <c r="C177" s="874"/>
      <c r="D177" s="880"/>
      <c r="E177" s="875"/>
      <c r="F177" s="892"/>
      <c r="G177" s="981"/>
    </row>
    <row r="178" spans="1:7" ht="16.5" customHeight="1">
      <c r="A178" s="933">
        <v>6.9</v>
      </c>
      <c r="B178" s="885" t="s">
        <v>1137</v>
      </c>
      <c r="C178" s="874"/>
      <c r="D178" s="880"/>
      <c r="E178" s="875"/>
      <c r="F178" s="892"/>
      <c r="G178" s="980"/>
    </row>
    <row r="179" spans="1:7">
      <c r="A179" s="939" t="s">
        <v>868</v>
      </c>
      <c r="B179" s="887" t="s">
        <v>486</v>
      </c>
      <c r="C179" s="874" t="s">
        <v>329</v>
      </c>
      <c r="D179" s="880" t="s">
        <v>468</v>
      </c>
      <c r="E179" s="875"/>
      <c r="F179" s="881"/>
      <c r="G179" s="980"/>
    </row>
    <row r="180" spans="1:7">
      <c r="A180" s="933"/>
      <c r="B180" s="890" t="s">
        <v>695</v>
      </c>
      <c r="C180" s="877"/>
      <c r="D180" s="893"/>
      <c r="E180" s="878"/>
      <c r="F180" s="892"/>
      <c r="G180" s="980"/>
    </row>
    <row r="181" spans="1:7">
      <c r="A181" s="939"/>
      <c r="B181" s="894"/>
      <c r="C181" s="874"/>
      <c r="D181" s="880"/>
      <c r="E181" s="875"/>
      <c r="F181" s="892"/>
      <c r="G181" s="980"/>
    </row>
    <row r="182" spans="1:7">
      <c r="A182" s="1006">
        <v>6.1</v>
      </c>
      <c r="B182" s="885" t="s">
        <v>1252</v>
      </c>
      <c r="C182" s="896"/>
      <c r="D182" s="897"/>
      <c r="E182" s="897"/>
      <c r="F182" s="898"/>
      <c r="G182" s="980"/>
    </row>
    <row r="183" spans="1:7">
      <c r="A183" s="1007" t="s">
        <v>870</v>
      </c>
      <c r="B183" s="887" t="s">
        <v>487</v>
      </c>
      <c r="C183" s="896" t="s">
        <v>350</v>
      </c>
      <c r="D183" s="897">
        <v>11</v>
      </c>
      <c r="E183" s="897"/>
      <c r="F183" s="898"/>
      <c r="G183" s="980"/>
    </row>
    <row r="184" spans="1:7">
      <c r="A184" s="1007" t="s">
        <v>1249</v>
      </c>
      <c r="B184" s="887" t="s">
        <v>708</v>
      </c>
      <c r="C184" s="896" t="s">
        <v>350</v>
      </c>
      <c r="D184" s="897">
        <v>7</v>
      </c>
      <c r="E184" s="897"/>
      <c r="F184" s="898"/>
      <c r="G184" s="980"/>
    </row>
    <row r="185" spans="1:7">
      <c r="A185" s="1007" t="s">
        <v>1250</v>
      </c>
      <c r="B185" s="887" t="s">
        <v>411</v>
      </c>
      <c r="C185" s="896" t="s">
        <v>352</v>
      </c>
      <c r="D185" s="897">
        <v>4</v>
      </c>
      <c r="E185" s="897"/>
      <c r="F185" s="898"/>
      <c r="G185" s="980"/>
    </row>
    <row r="186" spans="1:7">
      <c r="A186" s="1007" t="s">
        <v>1251</v>
      </c>
      <c r="B186" s="887" t="s">
        <v>412</v>
      </c>
      <c r="C186" s="896" t="s">
        <v>350</v>
      </c>
      <c r="D186" s="897">
        <v>1</v>
      </c>
      <c r="E186" s="897"/>
      <c r="F186" s="898"/>
      <c r="G186" s="980"/>
    </row>
    <row r="187" spans="1:7">
      <c r="A187" s="1002"/>
      <c r="B187" s="900" t="s">
        <v>697</v>
      </c>
      <c r="C187" s="901"/>
      <c r="D187" s="902"/>
      <c r="E187" s="903"/>
      <c r="F187" s="904"/>
      <c r="G187" s="980"/>
    </row>
    <row r="188" spans="1:7">
      <c r="A188" s="1002"/>
      <c r="B188" s="900"/>
      <c r="C188" s="901"/>
      <c r="D188" s="902"/>
      <c r="E188" s="903"/>
      <c r="F188" s="904"/>
      <c r="G188" s="980"/>
    </row>
    <row r="189" spans="1:7">
      <c r="A189" s="1002"/>
      <c r="B189" s="900"/>
      <c r="C189" s="901"/>
      <c r="D189" s="902"/>
      <c r="E189" s="903"/>
      <c r="F189" s="904"/>
      <c r="G189" s="980"/>
    </row>
    <row r="190" spans="1:7">
      <c r="A190" s="1002"/>
      <c r="B190" s="900"/>
      <c r="C190" s="901"/>
      <c r="D190" s="902"/>
      <c r="E190" s="903"/>
      <c r="F190" s="904"/>
      <c r="G190" s="980"/>
    </row>
    <row r="191" spans="1:7">
      <c r="A191" s="939"/>
      <c r="B191" s="905" t="s">
        <v>669</v>
      </c>
      <c r="C191" s="906"/>
      <c r="D191" s="906"/>
      <c r="E191" s="906"/>
      <c r="F191" s="907"/>
      <c r="G191" s="980"/>
    </row>
    <row r="192" spans="1:7">
      <c r="A192" s="939">
        <v>6.1</v>
      </c>
      <c r="B192" s="906" t="str">
        <f>B7</f>
        <v>ELEMENT NO. 1 : SUB-STRUCTURES (all provisional)</v>
      </c>
      <c r="C192" s="906"/>
      <c r="D192" s="906"/>
      <c r="E192" s="906"/>
      <c r="F192" s="907"/>
      <c r="G192" s="980"/>
    </row>
    <row r="193" spans="1:7">
      <c r="A193" s="939">
        <v>6.2</v>
      </c>
      <c r="B193" s="906" t="str">
        <f>B38</f>
        <v>ELEMENT NO. 2: SUPER STRUCTURE CONCRETE</v>
      </c>
      <c r="C193" s="906"/>
      <c r="D193" s="906"/>
      <c r="E193" s="906"/>
      <c r="F193" s="907"/>
      <c r="G193" s="980"/>
    </row>
    <row r="194" spans="1:7">
      <c r="A194" s="939">
        <v>6.3</v>
      </c>
      <c r="B194" s="906" t="str">
        <f>B52</f>
        <v>ELEMENT NO. 3 SUPERSTRUCTURE WALLING</v>
      </c>
      <c r="C194" s="906"/>
      <c r="D194" s="906"/>
      <c r="E194" s="906"/>
      <c r="F194" s="907"/>
      <c r="G194" s="980"/>
    </row>
    <row r="195" spans="1:7">
      <c r="A195" s="939">
        <v>6.4</v>
      </c>
      <c r="B195" s="906" t="str">
        <f>B64</f>
        <v>ELEMENT NO. 4 - ROOFING</v>
      </c>
      <c r="C195" s="906"/>
      <c r="D195" s="906"/>
      <c r="E195" s="906"/>
      <c r="F195" s="907"/>
      <c r="G195" s="980"/>
    </row>
    <row r="196" spans="1:7">
      <c r="A196" s="939">
        <v>6.5</v>
      </c>
      <c r="B196" s="908" t="str">
        <f>B93</f>
        <v>ELEMENT NO. 5: DOORS</v>
      </c>
      <c r="C196" s="906"/>
      <c r="D196" s="906"/>
      <c r="E196" s="906"/>
      <c r="F196" s="907"/>
      <c r="G196" s="980"/>
    </row>
    <row r="197" spans="1:7">
      <c r="A197" s="939">
        <v>6.6</v>
      </c>
      <c r="B197" s="906" t="str">
        <f>B110</f>
        <v>ELEMENT NO. 6: WINDOWS</v>
      </c>
      <c r="C197" s="906"/>
      <c r="D197" s="906"/>
      <c r="E197" s="906"/>
      <c r="F197" s="907"/>
      <c r="G197" s="980"/>
    </row>
    <row r="198" spans="1:7">
      <c r="A198" s="939">
        <v>6.7</v>
      </c>
      <c r="B198" s="906" t="str">
        <f>B115</f>
        <v>ELEMENT NO 7: FINISHES</v>
      </c>
      <c r="C198" s="906"/>
      <c r="D198" s="906"/>
      <c r="E198" s="906"/>
      <c r="F198" s="907"/>
      <c r="G198" s="980"/>
    </row>
    <row r="199" spans="1:7">
      <c r="A199" s="939">
        <v>6.8</v>
      </c>
      <c r="B199" s="909" t="str">
        <f>B156</f>
        <v>ELEMENT NO. 8: ELECTRICAL INSTALLATIONS AND SERVICES</v>
      </c>
      <c r="C199" s="906"/>
      <c r="D199" s="906"/>
      <c r="E199" s="906"/>
      <c r="F199" s="907"/>
      <c r="G199" s="980"/>
    </row>
    <row r="200" spans="1:7" s="982" customFormat="1">
      <c r="A200" s="939">
        <v>6.9</v>
      </c>
      <c r="B200" s="906" t="str">
        <f>B178</f>
        <v>ELEMENT NO. 9: STEPS AND RUMPS</v>
      </c>
      <c r="C200" s="906"/>
      <c r="D200" s="906"/>
      <c r="E200" s="906"/>
      <c r="F200" s="907"/>
      <c r="G200" s="981"/>
    </row>
    <row r="201" spans="1:7">
      <c r="A201" s="1033" t="s">
        <v>1253</v>
      </c>
      <c r="B201" s="906" t="str">
        <f>B182</f>
        <v>ELEMENT NO. 10: SOAK PIT 1 No.</v>
      </c>
      <c r="C201" s="906"/>
      <c r="D201" s="906"/>
      <c r="E201" s="906"/>
      <c r="F201" s="907"/>
    </row>
    <row r="202" spans="1:7">
      <c r="A202" s="939"/>
      <c r="B202" s="906"/>
      <c r="C202" s="906"/>
      <c r="D202" s="906"/>
      <c r="E202" s="906"/>
      <c r="F202" s="907"/>
    </row>
    <row r="203" spans="1:7">
      <c r="A203" s="933"/>
      <c r="B203" s="905" t="s">
        <v>1254</v>
      </c>
      <c r="C203" s="905"/>
      <c r="D203" s="905"/>
      <c r="E203" s="905"/>
      <c r="F203" s="910"/>
    </row>
  </sheetData>
  <pageMargins left="0.7" right="0.7" top="0.5" bottom="0.25" header="0.3" footer="0.3"/>
  <pageSetup scale="75" orientation="portrait" horizontalDpi="300" verticalDpi="300" r:id="rId1"/>
  <rowBreaks count="4" manualBreakCount="4">
    <brk id="35" max="5" man="1"/>
    <brk id="89" max="5" man="1"/>
    <brk id="153" max="5" man="1"/>
    <brk id="175"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220"/>
  <sheetViews>
    <sheetView view="pageBreakPreview" zoomScale="117" zoomScaleNormal="100" zoomScaleSheetLayoutView="117" workbookViewId="0">
      <pane xSplit="1" ySplit="1" topLeftCell="B2" activePane="bottomRight" state="frozen"/>
      <selection pane="topRight" activeCell="B1" sqref="B1"/>
      <selection pane="bottomLeft" activeCell="A2" sqref="A2"/>
      <selection pane="bottomRight" activeCell="G1" sqref="G1:I1048576"/>
    </sheetView>
  </sheetViews>
  <sheetFormatPr defaultColWidth="8.88671875" defaultRowHeight="14.4"/>
  <cols>
    <col min="1" max="1" width="6.6640625" style="1009" bestFit="1" customWidth="1"/>
    <col min="2" max="2" width="65.5546875" style="931" customWidth="1"/>
    <col min="3" max="3" width="5.44140625" style="931" bestFit="1" customWidth="1"/>
    <col min="4" max="4" width="6.6640625" style="931" bestFit="1" customWidth="1"/>
    <col min="5" max="5" width="6.5546875" style="931" bestFit="1" customWidth="1"/>
    <col min="6" max="6" width="10.5546875" style="931" bestFit="1" customWidth="1"/>
    <col min="7" max="16384" width="8.88671875" style="931"/>
  </cols>
  <sheetData>
    <row r="1" spans="1:6" s="989" customFormat="1">
      <c r="A1" s="983" t="s">
        <v>260</v>
      </c>
      <c r="B1" s="984" t="s">
        <v>13</v>
      </c>
      <c r="C1" s="985" t="s">
        <v>330</v>
      </c>
      <c r="D1" s="986" t="s">
        <v>331</v>
      </c>
      <c r="E1" s="987" t="s">
        <v>332</v>
      </c>
      <c r="F1" s="988"/>
    </row>
    <row r="2" spans="1:6">
      <c r="A2" s="990"/>
      <c r="B2" s="852" t="str">
        <f>'1 Preliminaries '!B2</f>
        <v>PROPOSED MALE TRANSITION CENTER - BAIDOA</v>
      </c>
      <c r="C2" s="853"/>
      <c r="D2" s="854"/>
      <c r="E2" s="855"/>
      <c r="F2" s="856"/>
    </row>
    <row r="3" spans="1:6">
      <c r="A3" s="990"/>
      <c r="B3" s="857" t="s">
        <v>1294</v>
      </c>
      <c r="C3" s="853"/>
      <c r="D3" s="854"/>
      <c r="E3" s="855"/>
      <c r="F3" s="856"/>
    </row>
    <row r="4" spans="1:6">
      <c r="A4" s="990"/>
      <c r="B4" s="857"/>
      <c r="C4" s="853"/>
      <c r="D4" s="854"/>
      <c r="E4" s="855"/>
      <c r="F4" s="856"/>
    </row>
    <row r="5" spans="1:6">
      <c r="A5" s="991">
        <v>6</v>
      </c>
      <c r="B5" s="852" t="s">
        <v>1205</v>
      </c>
      <c r="C5" s="858"/>
      <c r="D5" s="859"/>
      <c r="E5" s="860"/>
      <c r="F5" s="861"/>
    </row>
    <row r="6" spans="1:6">
      <c r="A6" s="991"/>
      <c r="B6" s="862"/>
      <c r="C6" s="858"/>
      <c r="D6" s="859"/>
      <c r="E6" s="860"/>
      <c r="F6" s="861"/>
    </row>
    <row r="7" spans="1:6">
      <c r="A7" s="993">
        <v>7.1</v>
      </c>
      <c r="B7" s="852" t="s">
        <v>476</v>
      </c>
      <c r="C7" s="858"/>
      <c r="D7" s="859"/>
      <c r="E7" s="860"/>
      <c r="F7" s="861"/>
    </row>
    <row r="8" spans="1:6" ht="16.2">
      <c r="A8" s="991" t="s">
        <v>812</v>
      </c>
      <c r="B8" s="863" t="s">
        <v>698</v>
      </c>
      <c r="C8" s="859" t="s">
        <v>465</v>
      </c>
      <c r="D8" s="859">
        <v>23</v>
      </c>
      <c r="E8" s="860"/>
      <c r="F8" s="861"/>
    </row>
    <row r="9" spans="1:6" ht="42" customHeight="1">
      <c r="A9" s="991" t="s">
        <v>813</v>
      </c>
      <c r="B9" s="863" t="s">
        <v>477</v>
      </c>
      <c r="C9" s="859" t="s">
        <v>465</v>
      </c>
      <c r="D9" s="859">
        <f>D8</f>
        <v>23</v>
      </c>
      <c r="E9" s="860"/>
      <c r="F9" s="861"/>
    </row>
    <row r="10" spans="1:6" ht="16.2">
      <c r="A10" s="991" t="s">
        <v>814</v>
      </c>
      <c r="B10" s="863" t="s">
        <v>1090</v>
      </c>
      <c r="C10" s="859" t="s">
        <v>689</v>
      </c>
      <c r="D10" s="859">
        <f>CEILING((22.8)*0.4*0.4,1)</f>
        <v>4</v>
      </c>
      <c r="E10" s="860"/>
      <c r="F10" s="861"/>
    </row>
    <row r="11" spans="1:6" ht="16.2">
      <c r="A11" s="991" t="s">
        <v>815</v>
      </c>
      <c r="B11" s="863" t="s">
        <v>1091</v>
      </c>
      <c r="C11" s="859" t="s">
        <v>465</v>
      </c>
      <c r="D11" s="859">
        <f>CEILING((22.8)*0.6,1)</f>
        <v>14</v>
      </c>
      <c r="E11" s="860"/>
      <c r="F11" s="861"/>
    </row>
    <row r="12" spans="1:6">
      <c r="A12" s="991"/>
      <c r="B12" s="852" t="s">
        <v>699</v>
      </c>
      <c r="C12" s="859"/>
      <c r="D12" s="859"/>
      <c r="E12" s="860"/>
      <c r="F12" s="864"/>
    </row>
    <row r="13" spans="1:6" ht="28.8">
      <c r="A13" s="991" t="s">
        <v>816</v>
      </c>
      <c r="B13" s="863" t="s">
        <v>700</v>
      </c>
      <c r="C13" s="859" t="s">
        <v>465</v>
      </c>
      <c r="D13" s="859">
        <f>D9</f>
        <v>23</v>
      </c>
      <c r="E13" s="860"/>
      <c r="F13" s="861"/>
    </row>
    <row r="14" spans="1:6" ht="28.8">
      <c r="A14" s="991" t="s">
        <v>817</v>
      </c>
      <c r="B14" s="863" t="s">
        <v>701</v>
      </c>
      <c r="C14" s="859" t="s">
        <v>465</v>
      </c>
      <c r="D14" s="859">
        <f>D13</f>
        <v>23</v>
      </c>
      <c r="E14" s="860"/>
      <c r="F14" s="861"/>
    </row>
    <row r="15" spans="1:6">
      <c r="A15" s="991" t="s">
        <v>818</v>
      </c>
      <c r="B15" s="852" t="s">
        <v>307</v>
      </c>
      <c r="C15" s="858"/>
      <c r="D15" s="859"/>
      <c r="E15" s="860"/>
      <c r="F15" s="861"/>
    </row>
    <row r="16" spans="1:6" ht="43.2">
      <c r="A16" s="991" t="s">
        <v>822</v>
      </c>
      <c r="B16" s="863" t="s">
        <v>690</v>
      </c>
      <c r="C16" s="859" t="s">
        <v>465</v>
      </c>
      <c r="D16" s="859">
        <f>D14</f>
        <v>23</v>
      </c>
      <c r="E16" s="860"/>
      <c r="F16" s="861"/>
    </row>
    <row r="17" spans="1:6">
      <c r="A17" s="991"/>
      <c r="B17" s="852" t="s">
        <v>295</v>
      </c>
      <c r="C17" s="858"/>
      <c r="D17" s="859"/>
      <c r="E17" s="860"/>
      <c r="F17" s="861"/>
    </row>
    <row r="18" spans="1:6" ht="43.2">
      <c r="A18" s="991" t="s">
        <v>819</v>
      </c>
      <c r="B18" s="863" t="s">
        <v>702</v>
      </c>
      <c r="C18" s="859" t="s">
        <v>465</v>
      </c>
      <c r="D18" s="859">
        <f>D16</f>
        <v>23</v>
      </c>
      <c r="E18" s="860"/>
      <c r="F18" s="861"/>
    </row>
    <row r="19" spans="1:6">
      <c r="A19" s="991"/>
      <c r="B19" s="852" t="s">
        <v>471</v>
      </c>
      <c r="C19" s="858"/>
      <c r="D19" s="859"/>
      <c r="E19" s="860"/>
      <c r="F19" s="861"/>
    </row>
    <row r="20" spans="1:6" ht="28.8">
      <c r="A20" s="991" t="s">
        <v>820</v>
      </c>
      <c r="B20" s="863" t="s">
        <v>1092</v>
      </c>
      <c r="C20" s="859" t="s">
        <v>472</v>
      </c>
      <c r="D20" s="859">
        <f>CEILING(22.8,1)</f>
        <v>23</v>
      </c>
      <c r="E20" s="860"/>
      <c r="F20" s="861"/>
    </row>
    <row r="21" spans="1:6">
      <c r="A21" s="991"/>
      <c r="B21" s="852" t="s">
        <v>479</v>
      </c>
      <c r="C21" s="859"/>
      <c r="D21" s="859"/>
      <c r="E21" s="860"/>
      <c r="F21" s="861"/>
    </row>
    <row r="22" spans="1:6" s="932" customFormat="1" ht="28.8">
      <c r="A22" s="915"/>
      <c r="B22" s="865" t="s">
        <v>1093</v>
      </c>
      <c r="C22" s="858"/>
      <c r="D22" s="860"/>
      <c r="E22" s="858"/>
      <c r="F22" s="916"/>
    </row>
    <row r="23" spans="1:6" s="932" customFormat="1">
      <c r="A23" s="915" t="s">
        <v>823</v>
      </c>
      <c r="B23" s="863" t="s">
        <v>1094</v>
      </c>
      <c r="C23" s="858" t="s">
        <v>287</v>
      </c>
      <c r="D23" s="860">
        <f>CEILING((22.8*3*1.15+(22.8/0.2+1)*0.5)*0.395,1)</f>
        <v>54</v>
      </c>
      <c r="E23" s="858"/>
      <c r="F23" s="916"/>
    </row>
    <row r="24" spans="1:6" s="932" customFormat="1">
      <c r="A24" s="915" t="s">
        <v>824</v>
      </c>
      <c r="B24" s="863" t="s">
        <v>1199</v>
      </c>
      <c r="C24" s="858" t="s">
        <v>287</v>
      </c>
      <c r="D24" s="860">
        <f>CEILING((22.8/0.2+1)*0.7*0.617,1)</f>
        <v>50</v>
      </c>
      <c r="E24" s="858"/>
      <c r="F24" s="916"/>
    </row>
    <row r="25" spans="1:6" s="932" customFormat="1">
      <c r="A25" s="915" t="s">
        <v>825</v>
      </c>
      <c r="B25" s="863" t="s">
        <v>1095</v>
      </c>
      <c r="C25" s="858" t="s">
        <v>287</v>
      </c>
      <c r="D25" s="860">
        <f>CEILING(22.8*4*1.15*0.888,1)</f>
        <v>94</v>
      </c>
      <c r="E25" s="858"/>
      <c r="F25" s="916"/>
    </row>
    <row r="26" spans="1:6" ht="16.2">
      <c r="A26" s="915" t="s">
        <v>826</v>
      </c>
      <c r="B26" s="863" t="s">
        <v>480</v>
      </c>
      <c r="C26" s="859" t="s">
        <v>465</v>
      </c>
      <c r="D26" s="859">
        <f>D18</f>
        <v>23</v>
      </c>
      <c r="E26" s="860"/>
      <c r="F26" s="861"/>
    </row>
    <row r="27" spans="1:6">
      <c r="A27" s="991"/>
      <c r="B27" s="862" t="s">
        <v>481</v>
      </c>
      <c r="C27" s="858"/>
      <c r="D27" s="859"/>
      <c r="E27" s="860"/>
      <c r="F27" s="861"/>
    </row>
    <row r="28" spans="1:6">
      <c r="A28" s="991"/>
      <c r="B28" s="865" t="s">
        <v>341</v>
      </c>
      <c r="C28" s="858"/>
      <c r="D28" s="859"/>
      <c r="E28" s="860"/>
      <c r="F28" s="861"/>
    </row>
    <row r="29" spans="1:6" ht="16.2">
      <c r="A29" s="991" t="s">
        <v>827</v>
      </c>
      <c r="B29" s="863" t="s">
        <v>482</v>
      </c>
      <c r="C29" s="859" t="s">
        <v>689</v>
      </c>
      <c r="D29" s="859">
        <f>CEILING(D18*0.15,1)</f>
        <v>4</v>
      </c>
      <c r="E29" s="860"/>
      <c r="F29" s="861"/>
    </row>
    <row r="30" spans="1:6">
      <c r="A30" s="991" t="s">
        <v>828</v>
      </c>
      <c r="B30" s="863" t="s">
        <v>1096</v>
      </c>
      <c r="C30" s="859" t="s">
        <v>1097</v>
      </c>
      <c r="D30" s="859">
        <f>CEILING((22.8)*0.25*0.4,1)</f>
        <v>3</v>
      </c>
      <c r="E30" s="860"/>
      <c r="F30" s="861"/>
    </row>
    <row r="31" spans="1:6">
      <c r="A31" s="991" t="s">
        <v>1255</v>
      </c>
      <c r="B31" s="863" t="s">
        <v>1098</v>
      </c>
      <c r="C31" s="859" t="s">
        <v>1097</v>
      </c>
      <c r="D31" s="859">
        <f>CEILING((22.8)*0.2*0.3,1)</f>
        <v>2</v>
      </c>
      <c r="E31" s="860"/>
      <c r="F31" s="861"/>
    </row>
    <row r="32" spans="1:6">
      <c r="A32" s="991"/>
      <c r="B32" s="546" t="s">
        <v>897</v>
      </c>
      <c r="C32" s="547"/>
      <c r="D32" s="547"/>
      <c r="E32" s="547"/>
      <c r="F32" s="576"/>
    </row>
    <row r="33" spans="1:7" ht="100.8">
      <c r="A33" s="548"/>
      <c r="B33" s="865" t="s">
        <v>898</v>
      </c>
      <c r="C33" s="547"/>
      <c r="D33" s="547"/>
      <c r="E33" s="547"/>
      <c r="F33" s="576"/>
    </row>
    <row r="34" spans="1:7" s="872" customFormat="1" ht="16.2">
      <c r="A34" s="991" t="s">
        <v>1373</v>
      </c>
      <c r="B34" s="863" t="s">
        <v>899</v>
      </c>
      <c r="C34" s="547" t="s">
        <v>500</v>
      </c>
      <c r="D34" s="547">
        <f>CEILING(22.8*1.2,1)</f>
        <v>28</v>
      </c>
      <c r="E34" s="547"/>
      <c r="F34" s="576"/>
      <c r="G34" s="871"/>
    </row>
    <row r="35" spans="1:7">
      <c r="A35" s="992"/>
      <c r="B35" s="863"/>
      <c r="C35" s="859"/>
      <c r="D35" s="866"/>
      <c r="E35" s="860"/>
      <c r="F35" s="867"/>
    </row>
    <row r="36" spans="1:7">
      <c r="A36" s="993"/>
      <c r="B36" s="862" t="s">
        <v>668</v>
      </c>
      <c r="C36" s="868"/>
      <c r="D36" s="868"/>
      <c r="E36" s="869"/>
      <c r="F36" s="870"/>
    </row>
    <row r="37" spans="1:7" s="872" customFormat="1">
      <c r="A37" s="917" t="s">
        <v>260</v>
      </c>
      <c r="B37" s="911" t="s">
        <v>13</v>
      </c>
      <c r="C37" s="912" t="s">
        <v>330</v>
      </c>
      <c r="D37" s="913" t="s">
        <v>331</v>
      </c>
      <c r="E37" s="914" t="s">
        <v>332</v>
      </c>
      <c r="F37" s="918"/>
      <c r="G37" s="871"/>
    </row>
    <row r="38" spans="1:7" s="936" customFormat="1">
      <c r="A38" s="933"/>
      <c r="B38" s="890"/>
      <c r="C38" s="877"/>
      <c r="D38" s="893"/>
      <c r="E38" s="878"/>
      <c r="F38" s="934"/>
      <c r="G38" s="935"/>
    </row>
    <row r="39" spans="1:7" s="938" customFormat="1">
      <c r="A39" s="933">
        <v>7.2</v>
      </c>
      <c r="B39" s="885" t="s">
        <v>1099</v>
      </c>
      <c r="C39" s="874"/>
      <c r="D39" s="880"/>
      <c r="E39" s="875"/>
      <c r="F39" s="934"/>
      <c r="G39" s="937"/>
    </row>
    <row r="40" spans="1:7" s="66" customFormat="1">
      <c r="A40" s="1169"/>
      <c r="B40" s="1170" t="s">
        <v>1100</v>
      </c>
      <c r="C40" s="1171"/>
      <c r="D40" s="1172"/>
      <c r="E40" s="1171"/>
      <c r="F40" s="1173"/>
    </row>
    <row r="41" spans="1:7" s="1178" customFormat="1">
      <c r="A41" s="1174" t="s">
        <v>1276</v>
      </c>
      <c r="B41" s="1062" t="s">
        <v>1101</v>
      </c>
      <c r="C41" s="1175" t="s">
        <v>282</v>
      </c>
      <c r="D41" s="1176">
        <f>CEILING((19+3.8)*0.2*0.4,1)</f>
        <v>2</v>
      </c>
      <c r="E41" s="1175"/>
      <c r="F41" s="1177"/>
    </row>
    <row r="42" spans="1:7" s="1178" customFormat="1">
      <c r="A42" s="1174"/>
      <c r="B42" s="1062" t="s">
        <v>1675</v>
      </c>
      <c r="C42" s="1175" t="s">
        <v>282</v>
      </c>
      <c r="D42" s="1179">
        <f>CEILING(22.3*0.15,1)</f>
        <v>4</v>
      </c>
      <c r="E42" s="1180"/>
      <c r="F42" s="1181"/>
    </row>
    <row r="43" spans="1:7" s="1178" customFormat="1">
      <c r="A43" s="1174"/>
      <c r="B43" s="1182" t="s">
        <v>1676</v>
      </c>
      <c r="C43" s="1175" t="s">
        <v>282</v>
      </c>
      <c r="D43" s="1179">
        <f>CEILING(6*0.4*0.4*3.3,1)</f>
        <v>4</v>
      </c>
      <c r="E43" s="1180"/>
      <c r="F43" s="1181"/>
    </row>
    <row r="44" spans="1:7" s="66" customFormat="1">
      <c r="A44" s="1169"/>
      <c r="B44" s="1170" t="s">
        <v>534</v>
      </c>
      <c r="C44" s="1171"/>
      <c r="D44" s="1172"/>
      <c r="E44" s="1171"/>
      <c r="F44" s="1173"/>
    </row>
    <row r="45" spans="1:7" s="66" customFormat="1">
      <c r="A45" s="1169"/>
      <c r="B45" s="1170" t="s">
        <v>535</v>
      </c>
      <c r="C45" s="1171"/>
      <c r="D45" s="1172"/>
      <c r="E45" s="1171"/>
      <c r="F45" s="1173"/>
    </row>
    <row r="46" spans="1:7" s="66" customFormat="1">
      <c r="A46" s="1169" t="s">
        <v>1277</v>
      </c>
      <c r="B46" s="1183" t="s">
        <v>1102</v>
      </c>
      <c r="C46" s="1171" t="s">
        <v>287</v>
      </c>
      <c r="D46" s="1048">
        <f>CEILING((19+3.8)/0.2*0.7*0.395,1)</f>
        <v>32</v>
      </c>
      <c r="E46" s="1171"/>
      <c r="F46" s="1173"/>
    </row>
    <row r="47" spans="1:7" s="66" customFormat="1">
      <c r="A47" s="1169" t="s">
        <v>1278</v>
      </c>
      <c r="B47" s="1183" t="s">
        <v>1103</v>
      </c>
      <c r="C47" s="1171" t="s">
        <v>287</v>
      </c>
      <c r="D47" s="1048">
        <f>CEILING((19+3.8)*4*1.15*0.888,1)</f>
        <v>94</v>
      </c>
      <c r="E47" s="1171"/>
      <c r="F47" s="1173"/>
    </row>
    <row r="48" spans="1:7" s="66" customFormat="1">
      <c r="A48" s="1169"/>
      <c r="B48" s="1184" t="s">
        <v>1104</v>
      </c>
      <c r="C48" s="1171"/>
      <c r="D48" s="1172"/>
      <c r="E48" s="1171"/>
      <c r="F48" s="1173"/>
    </row>
    <row r="49" spans="1:198" s="66" customFormat="1">
      <c r="A49" s="1169" t="s">
        <v>1279</v>
      </c>
      <c r="B49" s="1183" t="s">
        <v>1105</v>
      </c>
      <c r="C49" s="1171" t="s">
        <v>8</v>
      </c>
      <c r="D49" s="1048">
        <f>CEILING((19+3.8)*2*0.2,1)</f>
        <v>10</v>
      </c>
      <c r="E49" s="1171"/>
      <c r="F49" s="1173"/>
    </row>
    <row r="50" spans="1:198" s="66" customFormat="1">
      <c r="A50" s="1169"/>
      <c r="B50" s="1183" t="s">
        <v>1684</v>
      </c>
      <c r="C50" s="1171" t="s">
        <v>8</v>
      </c>
      <c r="D50" s="1048">
        <v>13</v>
      </c>
      <c r="E50" s="1171"/>
      <c r="F50" s="1173"/>
    </row>
    <row r="51" spans="1:198" s="1189" customFormat="1">
      <c r="A51" s="1185"/>
      <c r="B51" s="862" t="s">
        <v>1687</v>
      </c>
      <c r="C51" s="1186"/>
      <c r="D51" s="1187"/>
      <c r="E51" s="1186"/>
      <c r="F51" s="1188"/>
    </row>
    <row r="52" spans="1:198" s="1189" customFormat="1">
      <c r="A52" s="1200"/>
      <c r="B52" s="1200"/>
      <c r="C52" s="1201"/>
      <c r="D52" s="1202"/>
      <c r="E52" s="1201"/>
      <c r="F52" s="1203"/>
    </row>
    <row r="53" spans="1:198" s="66" customFormat="1">
      <c r="A53" s="1204">
        <v>7.3</v>
      </c>
      <c r="B53" s="1184" t="s">
        <v>1107</v>
      </c>
      <c r="C53" s="1171"/>
      <c r="D53" s="1172"/>
      <c r="E53" s="1171"/>
      <c r="F53" s="1173"/>
    </row>
    <row r="54" spans="1:198" s="66" customFormat="1" ht="15" customHeight="1">
      <c r="A54" s="1169"/>
      <c r="B54" s="1170"/>
      <c r="C54" s="1171"/>
      <c r="D54" s="1172"/>
      <c r="E54" s="1171"/>
      <c r="F54" s="1173"/>
    </row>
    <row r="55" spans="1:198" s="66" customFormat="1" ht="43.2">
      <c r="A55" s="1169"/>
      <c r="B55" s="1196" t="s">
        <v>1680</v>
      </c>
      <c r="C55" s="1171"/>
      <c r="D55" s="1176"/>
      <c r="E55" s="1171"/>
      <c r="F55" s="1173"/>
    </row>
    <row r="56" spans="1:198" s="66" customFormat="1">
      <c r="A56" s="1169"/>
      <c r="B56" s="1197"/>
      <c r="C56" s="1171"/>
      <c r="D56" s="1172"/>
      <c r="E56" s="1171"/>
      <c r="F56" s="1173"/>
    </row>
    <row r="57" spans="1:198" s="66" customFormat="1" ht="14.25" customHeight="1">
      <c r="A57" s="1169" t="s">
        <v>811</v>
      </c>
      <c r="B57" s="1198" t="s">
        <v>1681</v>
      </c>
      <c r="C57" s="1171" t="s">
        <v>8</v>
      </c>
      <c r="D57" s="1199">
        <f>CEILING((19+3.8)*3,1)</f>
        <v>69</v>
      </c>
      <c r="E57" s="1171"/>
      <c r="F57" s="1173"/>
    </row>
    <row r="58" spans="1:198" s="66" customFormat="1">
      <c r="A58" s="1169" t="s">
        <v>1693</v>
      </c>
      <c r="B58" s="1170" t="s">
        <v>1109</v>
      </c>
      <c r="C58" s="1171"/>
      <c r="D58" s="1172"/>
      <c r="E58" s="1171"/>
      <c r="F58" s="1173"/>
    </row>
    <row r="59" spans="1:198" s="66" customFormat="1">
      <c r="A59" s="1169" t="s">
        <v>1694</v>
      </c>
      <c r="B59" s="1183" t="s">
        <v>1683</v>
      </c>
      <c r="C59" s="1171" t="s">
        <v>9</v>
      </c>
      <c r="D59" s="1199">
        <f>CEILING((19+3.8),1)</f>
        <v>23</v>
      </c>
      <c r="E59" s="1171"/>
      <c r="F59" s="1173"/>
    </row>
    <row r="60" spans="1:198" s="1012" customFormat="1">
      <c r="A60" s="915"/>
      <c r="B60" s="863"/>
      <c r="C60" s="858"/>
      <c r="D60" s="860"/>
      <c r="E60" s="858"/>
      <c r="F60" s="864"/>
    </row>
    <row r="61" spans="1:198" s="1017" customFormat="1">
      <c r="A61" s="915"/>
      <c r="B61" s="862" t="s">
        <v>1111</v>
      </c>
      <c r="C61" s="924"/>
      <c r="D61" s="860"/>
      <c r="E61" s="858"/>
      <c r="F61" s="1014"/>
      <c r="G61" s="942"/>
      <c r="H61" s="1016"/>
      <c r="I61" s="1016"/>
      <c r="J61" s="1016"/>
      <c r="K61" s="1016"/>
      <c r="L61" s="1016"/>
      <c r="M61" s="1016"/>
      <c r="N61" s="1016"/>
      <c r="O61" s="1016"/>
      <c r="P61" s="1016"/>
      <c r="Q61" s="1016"/>
      <c r="R61" s="1016"/>
      <c r="S61" s="1016"/>
      <c r="T61" s="1016"/>
      <c r="U61" s="1016"/>
      <c r="V61" s="1016"/>
      <c r="W61" s="1016"/>
      <c r="X61" s="1016"/>
      <c r="Y61" s="1016"/>
      <c r="Z61" s="1016"/>
      <c r="AA61" s="1016"/>
      <c r="AB61" s="1016"/>
      <c r="AC61" s="1016"/>
      <c r="AD61" s="1016"/>
      <c r="AE61" s="1016"/>
      <c r="AF61" s="1016"/>
      <c r="AG61" s="1016"/>
      <c r="AH61" s="1016"/>
      <c r="AI61" s="1016"/>
      <c r="AJ61" s="1016"/>
      <c r="AK61" s="1016"/>
      <c r="AL61" s="1016"/>
      <c r="AM61" s="1016"/>
      <c r="AN61" s="1016"/>
      <c r="AO61" s="1016"/>
      <c r="AP61" s="1016"/>
      <c r="AQ61" s="1016"/>
      <c r="AR61" s="1016"/>
      <c r="AS61" s="1016"/>
      <c r="AT61" s="1016"/>
      <c r="AU61" s="1016"/>
      <c r="AV61" s="1016"/>
      <c r="AW61" s="1016"/>
      <c r="AX61" s="1016"/>
      <c r="AY61" s="1016"/>
      <c r="AZ61" s="1016"/>
      <c r="BA61" s="1016"/>
      <c r="BB61" s="1016"/>
      <c r="BC61" s="1016"/>
      <c r="BD61" s="1016"/>
      <c r="BE61" s="1016"/>
      <c r="BF61" s="1016"/>
      <c r="BG61" s="1016"/>
      <c r="BH61" s="1016"/>
      <c r="BI61" s="1016"/>
      <c r="BJ61" s="1016"/>
      <c r="BK61" s="1016"/>
      <c r="BL61" s="1016"/>
      <c r="BM61" s="1016"/>
      <c r="BN61" s="1016"/>
      <c r="BO61" s="1016"/>
      <c r="BP61" s="1016"/>
      <c r="BQ61" s="1016"/>
      <c r="BR61" s="1016"/>
      <c r="BS61" s="1016"/>
      <c r="BT61" s="1016"/>
      <c r="BU61" s="1016"/>
      <c r="BV61" s="1016"/>
      <c r="BW61" s="1016"/>
      <c r="BX61" s="1016"/>
      <c r="BY61" s="1016"/>
      <c r="BZ61" s="1016"/>
      <c r="CA61" s="1016"/>
      <c r="CB61" s="1016"/>
      <c r="CC61" s="1016"/>
      <c r="CD61" s="1016"/>
      <c r="CE61" s="1016"/>
      <c r="CF61" s="1016"/>
      <c r="CG61" s="1016"/>
      <c r="CH61" s="1016"/>
      <c r="CI61" s="1016"/>
      <c r="CJ61" s="1016"/>
      <c r="CK61" s="1016"/>
      <c r="CL61" s="1016"/>
      <c r="CM61" s="1016"/>
      <c r="CN61" s="1016"/>
      <c r="CO61" s="1016"/>
      <c r="CP61" s="1016"/>
      <c r="CQ61" s="1016"/>
      <c r="CR61" s="1016"/>
      <c r="CS61" s="1016"/>
      <c r="CT61" s="1016"/>
      <c r="CU61" s="1016"/>
      <c r="CV61" s="1016"/>
      <c r="CW61" s="1016"/>
      <c r="CX61" s="1016"/>
      <c r="CY61" s="1016"/>
      <c r="CZ61" s="1016"/>
      <c r="DA61" s="1016"/>
      <c r="DB61" s="1016"/>
      <c r="DC61" s="1016"/>
      <c r="DD61" s="1016"/>
      <c r="DE61" s="1016"/>
      <c r="DF61" s="1016"/>
      <c r="DG61" s="1016"/>
      <c r="DH61" s="1016"/>
      <c r="DI61" s="1016"/>
      <c r="DJ61" s="1016"/>
      <c r="DK61" s="1016"/>
      <c r="DL61" s="1016"/>
      <c r="DM61" s="1016"/>
      <c r="DN61" s="1016"/>
      <c r="DO61" s="1016"/>
      <c r="DP61" s="1016"/>
      <c r="DQ61" s="1016"/>
      <c r="DR61" s="1016"/>
      <c r="DS61" s="1016"/>
      <c r="DT61" s="1016"/>
      <c r="DU61" s="1016"/>
      <c r="DV61" s="1016"/>
      <c r="DW61" s="1016"/>
      <c r="DX61" s="1016"/>
      <c r="DY61" s="1016"/>
      <c r="DZ61" s="1016"/>
      <c r="EA61" s="1016"/>
      <c r="EB61" s="1016"/>
      <c r="EC61" s="1016"/>
      <c r="ED61" s="1016"/>
      <c r="EE61" s="1016"/>
      <c r="EF61" s="1016"/>
      <c r="EG61" s="1016"/>
      <c r="EH61" s="1016"/>
      <c r="EI61" s="1016"/>
      <c r="EJ61" s="1016"/>
      <c r="EK61" s="1016"/>
      <c r="EL61" s="1016"/>
      <c r="EM61" s="1016"/>
      <c r="EN61" s="1016"/>
      <c r="EO61" s="1016"/>
      <c r="EP61" s="1016"/>
      <c r="EQ61" s="1016"/>
      <c r="ER61" s="1016"/>
      <c r="ES61" s="1016"/>
      <c r="ET61" s="1016"/>
      <c r="EU61" s="1016"/>
      <c r="EV61" s="1016"/>
      <c r="EW61" s="1016"/>
      <c r="EX61" s="1016"/>
      <c r="EY61" s="1016"/>
      <c r="EZ61" s="1016"/>
      <c r="FA61" s="1016"/>
      <c r="FB61" s="1016"/>
      <c r="FC61" s="1016"/>
      <c r="FD61" s="1016"/>
      <c r="FE61" s="1016"/>
      <c r="FF61" s="1016"/>
      <c r="FG61" s="1016"/>
      <c r="FH61" s="1016"/>
      <c r="FI61" s="1016"/>
      <c r="FJ61" s="1016"/>
      <c r="FK61" s="1016"/>
      <c r="FL61" s="1016"/>
      <c r="FM61" s="1016"/>
      <c r="FN61" s="1016"/>
      <c r="FO61" s="1016"/>
      <c r="FP61" s="1016"/>
      <c r="FQ61" s="1016"/>
      <c r="FR61" s="1016"/>
      <c r="FS61" s="1016"/>
      <c r="FT61" s="1016"/>
      <c r="FU61" s="1016"/>
      <c r="FV61" s="1016"/>
      <c r="FW61" s="1016"/>
      <c r="FX61" s="1016"/>
      <c r="FY61" s="1016"/>
      <c r="FZ61" s="1016"/>
      <c r="GA61" s="1016"/>
      <c r="GB61" s="1016"/>
      <c r="GC61" s="1016"/>
      <c r="GD61" s="1016"/>
      <c r="GE61" s="1016"/>
      <c r="GF61" s="1016"/>
      <c r="GG61" s="1016"/>
      <c r="GH61" s="1016"/>
      <c r="GI61" s="1016"/>
      <c r="GJ61" s="1016"/>
      <c r="GK61" s="1016"/>
      <c r="GL61" s="1016"/>
      <c r="GM61" s="1016"/>
      <c r="GN61" s="1016"/>
      <c r="GO61" s="1016"/>
      <c r="GP61" s="1016"/>
    </row>
    <row r="62" spans="1:198" s="938" customFormat="1">
      <c r="A62" s="939"/>
      <c r="B62" s="887"/>
      <c r="C62" s="874"/>
      <c r="D62" s="880"/>
      <c r="E62" s="875"/>
      <c r="F62" s="934"/>
      <c r="G62" s="937"/>
    </row>
    <row r="63" spans="1:198" s="932" customFormat="1">
      <c r="A63" s="915"/>
      <c r="B63" s="862"/>
      <c r="C63" s="924"/>
      <c r="D63" s="860"/>
      <c r="E63" s="858"/>
      <c r="F63" s="926"/>
    </row>
    <row r="64" spans="1:198" s="948" customFormat="1">
      <c r="A64" s="994"/>
      <c r="B64" s="942"/>
      <c r="C64" s="943"/>
      <c r="D64" s="943"/>
      <c r="E64" s="944"/>
      <c r="F64" s="945"/>
      <c r="G64" s="946"/>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7"/>
      <c r="AF64" s="947"/>
      <c r="AG64" s="947"/>
      <c r="AH64" s="947"/>
      <c r="AI64" s="947"/>
      <c r="AJ64" s="947"/>
      <c r="AK64" s="947"/>
      <c r="AL64" s="947"/>
      <c r="AM64" s="947"/>
      <c r="AN64" s="947"/>
      <c r="AO64" s="947"/>
      <c r="AP64" s="947"/>
      <c r="AQ64" s="947"/>
      <c r="AR64" s="947"/>
      <c r="AS64" s="947"/>
      <c r="AT64" s="947"/>
      <c r="AU64" s="947"/>
      <c r="AV64" s="947"/>
      <c r="AW64" s="947"/>
      <c r="AX64" s="947"/>
      <c r="AY64" s="947"/>
      <c r="AZ64" s="947"/>
      <c r="BA64" s="947"/>
      <c r="BB64" s="947"/>
      <c r="BC64" s="947"/>
      <c r="BD64" s="947"/>
      <c r="BE64" s="947"/>
      <c r="BF64" s="947"/>
      <c r="BG64" s="947"/>
      <c r="BH64" s="947"/>
      <c r="BI64" s="947"/>
      <c r="BJ64" s="947"/>
      <c r="BK64" s="947"/>
      <c r="BL64" s="947"/>
      <c r="BM64" s="947"/>
      <c r="BN64" s="947"/>
      <c r="BO64" s="947"/>
      <c r="BP64" s="947"/>
      <c r="BQ64" s="947"/>
      <c r="BR64" s="947"/>
      <c r="BS64" s="947"/>
      <c r="BT64" s="947"/>
      <c r="BU64" s="947"/>
      <c r="BV64" s="947"/>
      <c r="BW64" s="947"/>
      <c r="BX64" s="947"/>
      <c r="BY64" s="947"/>
      <c r="BZ64" s="947"/>
      <c r="CA64" s="947"/>
      <c r="CB64" s="947"/>
      <c r="CC64" s="947"/>
      <c r="CD64" s="947"/>
      <c r="CE64" s="947"/>
      <c r="CF64" s="947"/>
      <c r="CG64" s="947"/>
      <c r="CH64" s="947"/>
      <c r="CI64" s="947"/>
      <c r="CJ64" s="947"/>
      <c r="CK64" s="947"/>
      <c r="CL64" s="947"/>
      <c r="CM64" s="947"/>
      <c r="CN64" s="947"/>
      <c r="CO64" s="947"/>
      <c r="CP64" s="947"/>
      <c r="CQ64" s="947"/>
      <c r="CR64" s="947"/>
      <c r="CS64" s="947"/>
      <c r="CT64" s="947"/>
      <c r="CU64" s="947"/>
      <c r="CV64" s="947"/>
      <c r="CW64" s="947"/>
      <c r="CX64" s="947"/>
      <c r="CY64" s="947"/>
      <c r="CZ64" s="947"/>
      <c r="DA64" s="947"/>
      <c r="DB64" s="947"/>
      <c r="DC64" s="947"/>
      <c r="DD64" s="947"/>
      <c r="DE64" s="947"/>
      <c r="DF64" s="947"/>
      <c r="DG64" s="947"/>
      <c r="DH64" s="947"/>
      <c r="DI64" s="947"/>
      <c r="DJ64" s="947"/>
      <c r="DK64" s="947"/>
      <c r="DL64" s="947"/>
      <c r="DM64" s="947"/>
      <c r="DN64" s="947"/>
      <c r="DO64" s="947"/>
      <c r="DP64" s="947"/>
      <c r="DQ64" s="947"/>
      <c r="DR64" s="947"/>
      <c r="DS64" s="947"/>
      <c r="DT64" s="947"/>
      <c r="DU64" s="947"/>
      <c r="DV64" s="947"/>
      <c r="DW64" s="947"/>
      <c r="DX64" s="947"/>
      <c r="DY64" s="947"/>
      <c r="DZ64" s="947"/>
      <c r="EA64" s="947"/>
      <c r="EB64" s="947"/>
      <c r="EC64" s="947"/>
      <c r="ED64" s="947"/>
      <c r="EE64" s="947"/>
      <c r="EF64" s="947"/>
      <c r="EG64" s="947"/>
      <c r="EH64" s="947"/>
      <c r="EI64" s="947"/>
      <c r="EJ64" s="947"/>
      <c r="EK64" s="947"/>
      <c r="EL64" s="947"/>
      <c r="EM64" s="947"/>
      <c r="EN64" s="947"/>
      <c r="EO64" s="947"/>
      <c r="EP64" s="947"/>
      <c r="EQ64" s="947"/>
      <c r="ER64" s="947"/>
      <c r="ES64" s="947"/>
      <c r="ET64" s="947"/>
      <c r="EU64" s="947"/>
      <c r="EV64" s="947"/>
      <c r="EW64" s="947"/>
      <c r="EX64" s="947"/>
      <c r="EY64" s="947"/>
      <c r="EZ64" s="947"/>
      <c r="FA64" s="947"/>
      <c r="FB64" s="947"/>
      <c r="FC64" s="947"/>
      <c r="FD64" s="947"/>
      <c r="FE64" s="947"/>
      <c r="FF64" s="947"/>
      <c r="FG64" s="947"/>
      <c r="FH64" s="947"/>
      <c r="FI64" s="947"/>
      <c r="FJ64" s="947"/>
      <c r="FK64" s="947"/>
      <c r="FL64" s="947"/>
      <c r="FM64" s="947"/>
      <c r="FN64" s="947"/>
      <c r="FO64" s="947"/>
      <c r="FP64" s="947"/>
      <c r="FQ64" s="947"/>
      <c r="FR64" s="947"/>
      <c r="FS64" s="947"/>
      <c r="FT64" s="947"/>
      <c r="FU64" s="947"/>
      <c r="FV64" s="947"/>
      <c r="FW64" s="947"/>
      <c r="FX64" s="947"/>
      <c r="FY64" s="947"/>
      <c r="FZ64" s="947"/>
      <c r="GA64" s="947"/>
      <c r="GB64" s="947"/>
      <c r="GC64" s="947"/>
      <c r="GD64" s="947"/>
      <c r="GE64" s="947"/>
      <c r="GF64" s="947"/>
      <c r="GG64" s="947"/>
      <c r="GH64" s="947"/>
      <c r="GI64" s="947"/>
      <c r="GJ64" s="947"/>
      <c r="GK64" s="947"/>
      <c r="GL64" s="947"/>
      <c r="GM64" s="947"/>
      <c r="GN64" s="947"/>
      <c r="GO64" s="947"/>
      <c r="GP64" s="947"/>
    </row>
    <row r="65" spans="1:198" s="954" customFormat="1">
      <c r="A65" s="994">
        <v>7.4</v>
      </c>
      <c r="B65" s="942" t="s">
        <v>1112</v>
      </c>
      <c r="C65" s="949"/>
      <c r="D65" s="949"/>
      <c r="E65" s="950"/>
      <c r="F65" s="951"/>
      <c r="G65" s="952"/>
      <c r="H65" s="953"/>
      <c r="I65" s="953"/>
      <c r="J65" s="953"/>
      <c r="K65" s="953"/>
      <c r="L65" s="953"/>
      <c r="M65" s="953"/>
      <c r="N65" s="953"/>
      <c r="O65" s="953"/>
      <c r="P65" s="953"/>
      <c r="Q65" s="953"/>
      <c r="R65" s="953"/>
      <c r="S65" s="953"/>
      <c r="T65" s="953"/>
      <c r="U65" s="953"/>
      <c r="V65" s="953"/>
      <c r="W65" s="953"/>
      <c r="X65" s="953"/>
      <c r="Y65" s="953"/>
      <c r="Z65" s="953"/>
      <c r="AA65" s="953"/>
      <c r="AB65" s="953"/>
      <c r="AC65" s="953"/>
      <c r="AD65" s="953"/>
      <c r="AE65" s="953"/>
      <c r="AF65" s="953"/>
      <c r="AG65" s="953"/>
      <c r="AH65" s="953"/>
      <c r="AI65" s="953"/>
      <c r="AJ65" s="953"/>
      <c r="AK65" s="953"/>
      <c r="AL65" s="953"/>
      <c r="AM65" s="953"/>
      <c r="AN65" s="953"/>
      <c r="AO65" s="953"/>
      <c r="AP65" s="953"/>
      <c r="AQ65" s="953"/>
      <c r="AR65" s="953"/>
      <c r="AS65" s="953"/>
      <c r="AT65" s="953"/>
      <c r="AU65" s="953"/>
      <c r="AV65" s="953"/>
      <c r="AW65" s="953"/>
      <c r="AX65" s="953"/>
      <c r="AY65" s="953"/>
      <c r="AZ65" s="953"/>
      <c r="BA65" s="953"/>
      <c r="BB65" s="953"/>
      <c r="BC65" s="953"/>
      <c r="BD65" s="953"/>
      <c r="BE65" s="953"/>
      <c r="BF65" s="953"/>
      <c r="BG65" s="953"/>
      <c r="BH65" s="953"/>
      <c r="BI65" s="953"/>
      <c r="BJ65" s="953"/>
      <c r="BK65" s="953"/>
      <c r="BL65" s="953"/>
      <c r="BM65" s="953"/>
      <c r="BN65" s="953"/>
      <c r="BO65" s="953"/>
      <c r="BP65" s="953"/>
      <c r="BQ65" s="953"/>
      <c r="BR65" s="953"/>
      <c r="BS65" s="953"/>
      <c r="BT65" s="953"/>
      <c r="BU65" s="953"/>
      <c r="BV65" s="953"/>
      <c r="BW65" s="953"/>
      <c r="BX65" s="953"/>
      <c r="BY65" s="953"/>
      <c r="BZ65" s="953"/>
      <c r="CA65" s="953"/>
      <c r="CB65" s="953"/>
      <c r="CC65" s="953"/>
      <c r="CD65" s="953"/>
      <c r="CE65" s="953"/>
      <c r="CF65" s="953"/>
      <c r="CG65" s="953"/>
      <c r="CH65" s="953"/>
      <c r="CI65" s="953"/>
      <c r="CJ65" s="953"/>
      <c r="CK65" s="953"/>
      <c r="CL65" s="953"/>
      <c r="CM65" s="953"/>
      <c r="CN65" s="953"/>
      <c r="CO65" s="953"/>
      <c r="CP65" s="953"/>
      <c r="CQ65" s="953"/>
      <c r="CR65" s="953"/>
      <c r="CS65" s="953"/>
      <c r="CT65" s="953"/>
      <c r="CU65" s="953"/>
      <c r="CV65" s="953"/>
      <c r="CW65" s="953"/>
      <c r="CX65" s="953"/>
      <c r="CY65" s="953"/>
      <c r="CZ65" s="953"/>
      <c r="DA65" s="953"/>
      <c r="DB65" s="953"/>
      <c r="DC65" s="953"/>
      <c r="DD65" s="953"/>
      <c r="DE65" s="953"/>
      <c r="DF65" s="953"/>
      <c r="DG65" s="953"/>
      <c r="DH65" s="953"/>
      <c r="DI65" s="953"/>
      <c r="DJ65" s="953"/>
      <c r="DK65" s="953"/>
      <c r="DL65" s="953"/>
      <c r="DM65" s="953"/>
      <c r="DN65" s="953"/>
      <c r="DO65" s="953"/>
      <c r="DP65" s="953"/>
      <c r="DQ65" s="953"/>
      <c r="DR65" s="953"/>
      <c r="DS65" s="953"/>
      <c r="DT65" s="953"/>
      <c r="DU65" s="953"/>
      <c r="DV65" s="953"/>
      <c r="DW65" s="953"/>
      <c r="DX65" s="953"/>
      <c r="DY65" s="953"/>
      <c r="DZ65" s="953"/>
      <c r="EA65" s="953"/>
      <c r="EB65" s="953"/>
      <c r="EC65" s="953"/>
      <c r="ED65" s="953"/>
      <c r="EE65" s="953"/>
      <c r="EF65" s="953"/>
      <c r="EG65" s="953"/>
      <c r="EH65" s="953"/>
      <c r="EI65" s="953"/>
      <c r="EJ65" s="953"/>
      <c r="EK65" s="953"/>
      <c r="EL65" s="953"/>
      <c r="EM65" s="953"/>
      <c r="EN65" s="953"/>
      <c r="EO65" s="953"/>
      <c r="EP65" s="953"/>
      <c r="EQ65" s="953"/>
      <c r="ER65" s="953"/>
      <c r="ES65" s="953"/>
      <c r="ET65" s="953"/>
      <c r="EU65" s="953"/>
      <c r="EV65" s="953"/>
      <c r="EW65" s="953"/>
      <c r="EX65" s="953"/>
      <c r="EY65" s="953"/>
      <c r="EZ65" s="953"/>
      <c r="FA65" s="953"/>
      <c r="FB65" s="953"/>
      <c r="FC65" s="953"/>
      <c r="FD65" s="953"/>
      <c r="FE65" s="953"/>
      <c r="FF65" s="953"/>
      <c r="FG65" s="953"/>
      <c r="FH65" s="953"/>
      <c r="FI65" s="953"/>
      <c r="FJ65" s="953"/>
      <c r="FK65" s="953"/>
      <c r="FL65" s="953"/>
      <c r="FM65" s="953"/>
      <c r="FN65" s="953"/>
      <c r="FO65" s="953"/>
      <c r="FP65" s="953"/>
      <c r="FQ65" s="953"/>
      <c r="FR65" s="953"/>
      <c r="FS65" s="953"/>
      <c r="FT65" s="953"/>
      <c r="FU65" s="953"/>
      <c r="FV65" s="953"/>
      <c r="FW65" s="953"/>
      <c r="FX65" s="953"/>
      <c r="FY65" s="953"/>
      <c r="FZ65" s="953"/>
      <c r="GA65" s="953"/>
      <c r="GB65" s="953"/>
      <c r="GC65" s="953"/>
      <c r="GD65" s="953"/>
      <c r="GE65" s="953"/>
      <c r="GF65" s="953"/>
      <c r="GG65" s="953"/>
      <c r="GH65" s="953"/>
      <c r="GI65" s="953"/>
      <c r="GJ65" s="953"/>
      <c r="GK65" s="953"/>
      <c r="GL65" s="953"/>
      <c r="GM65" s="953"/>
      <c r="GN65" s="953"/>
      <c r="GO65" s="953"/>
      <c r="GP65" s="953"/>
    </row>
    <row r="66" spans="1:198" s="959" customFormat="1">
      <c r="A66" s="995" t="s">
        <v>11</v>
      </c>
      <c r="B66" s="955" t="s">
        <v>607</v>
      </c>
      <c r="C66" s="956" t="s">
        <v>11</v>
      </c>
      <c r="D66" s="956"/>
      <c r="E66" s="956"/>
      <c r="F66" s="957"/>
      <c r="G66" s="958"/>
    </row>
    <row r="67" spans="1:198" s="954" customFormat="1">
      <c r="A67" s="996" t="s">
        <v>829</v>
      </c>
      <c r="B67" s="960" t="s">
        <v>608</v>
      </c>
      <c r="C67" s="949" t="s">
        <v>8</v>
      </c>
      <c r="D67" s="941">
        <f>CEILING(32.7*1.15,1)</f>
        <v>38</v>
      </c>
      <c r="E67" s="950"/>
      <c r="F67" s="951"/>
      <c r="G67" s="952"/>
      <c r="H67" s="953"/>
      <c r="I67" s="953"/>
      <c r="J67" s="953"/>
      <c r="K67" s="953"/>
      <c r="L67" s="953"/>
      <c r="M67" s="953"/>
      <c r="N67" s="953"/>
      <c r="O67" s="953"/>
      <c r="P67" s="953"/>
      <c r="Q67" s="953"/>
      <c r="R67" s="953"/>
      <c r="S67" s="953"/>
      <c r="T67" s="953"/>
      <c r="U67" s="953"/>
      <c r="V67" s="953"/>
      <c r="W67" s="953"/>
      <c r="X67" s="953"/>
      <c r="Y67" s="953"/>
      <c r="Z67" s="953"/>
      <c r="AA67" s="953"/>
      <c r="AB67" s="953"/>
      <c r="AC67" s="953"/>
      <c r="AD67" s="953"/>
      <c r="AE67" s="953"/>
      <c r="AF67" s="953"/>
      <c r="AG67" s="953"/>
      <c r="AH67" s="953"/>
      <c r="AI67" s="953"/>
      <c r="AJ67" s="953"/>
      <c r="AK67" s="953"/>
      <c r="AL67" s="953"/>
      <c r="AM67" s="953"/>
      <c r="AN67" s="953"/>
      <c r="AO67" s="953"/>
      <c r="AP67" s="953"/>
      <c r="AQ67" s="953"/>
      <c r="AR67" s="953"/>
      <c r="AS67" s="953"/>
      <c r="AT67" s="953"/>
      <c r="AU67" s="953"/>
      <c r="AV67" s="953"/>
      <c r="AW67" s="953"/>
      <c r="AX67" s="953"/>
      <c r="AY67" s="953"/>
      <c r="AZ67" s="953"/>
      <c r="BA67" s="953"/>
      <c r="BB67" s="953"/>
      <c r="BC67" s="953"/>
      <c r="BD67" s="953"/>
      <c r="BE67" s="953"/>
      <c r="BF67" s="953"/>
      <c r="BG67" s="953"/>
      <c r="BH67" s="953"/>
      <c r="BI67" s="953"/>
      <c r="BJ67" s="953"/>
      <c r="BK67" s="953"/>
      <c r="BL67" s="953"/>
      <c r="BM67" s="953"/>
      <c r="BN67" s="953"/>
      <c r="BO67" s="953"/>
      <c r="BP67" s="953"/>
      <c r="BQ67" s="953"/>
      <c r="BR67" s="953"/>
      <c r="BS67" s="953"/>
      <c r="BT67" s="953"/>
      <c r="BU67" s="953"/>
      <c r="BV67" s="953"/>
      <c r="BW67" s="953"/>
      <c r="BX67" s="953"/>
      <c r="BY67" s="953"/>
      <c r="BZ67" s="953"/>
      <c r="CA67" s="953"/>
      <c r="CB67" s="953"/>
      <c r="CC67" s="953"/>
      <c r="CD67" s="953"/>
      <c r="CE67" s="953"/>
      <c r="CF67" s="953"/>
      <c r="CG67" s="953"/>
      <c r="CH67" s="953"/>
      <c r="CI67" s="953"/>
      <c r="CJ67" s="953"/>
      <c r="CK67" s="953"/>
      <c r="CL67" s="953"/>
      <c r="CM67" s="953"/>
      <c r="CN67" s="953"/>
      <c r="CO67" s="953"/>
      <c r="CP67" s="953"/>
      <c r="CQ67" s="953"/>
      <c r="CR67" s="953"/>
      <c r="CS67" s="953"/>
      <c r="CT67" s="953"/>
      <c r="CU67" s="953"/>
      <c r="CV67" s="953"/>
      <c r="CW67" s="953"/>
      <c r="CX67" s="953"/>
      <c r="CY67" s="953"/>
      <c r="CZ67" s="953"/>
      <c r="DA67" s="953"/>
      <c r="DB67" s="953"/>
      <c r="DC67" s="953"/>
      <c r="DD67" s="953"/>
      <c r="DE67" s="953"/>
      <c r="DF67" s="953"/>
      <c r="DG67" s="953"/>
      <c r="DH67" s="953"/>
      <c r="DI67" s="953"/>
      <c r="DJ67" s="953"/>
      <c r="DK67" s="953"/>
      <c r="DL67" s="953"/>
      <c r="DM67" s="953"/>
      <c r="DN67" s="953"/>
      <c r="DO67" s="953"/>
      <c r="DP67" s="953"/>
      <c r="DQ67" s="953"/>
      <c r="DR67" s="953"/>
      <c r="DS67" s="953"/>
      <c r="DT67" s="953"/>
      <c r="DU67" s="953"/>
      <c r="DV67" s="953"/>
      <c r="DW67" s="953"/>
      <c r="DX67" s="953"/>
      <c r="DY67" s="953"/>
      <c r="DZ67" s="953"/>
      <c r="EA67" s="953"/>
      <c r="EB67" s="953"/>
      <c r="EC67" s="953"/>
      <c r="ED67" s="953"/>
      <c r="EE67" s="953"/>
      <c r="EF67" s="953"/>
      <c r="EG67" s="953"/>
      <c r="EH67" s="953"/>
      <c r="EI67" s="953"/>
      <c r="EJ67" s="953"/>
      <c r="EK67" s="953"/>
      <c r="EL67" s="953"/>
      <c r="EM67" s="953"/>
      <c r="EN67" s="953"/>
      <c r="EO67" s="953"/>
      <c r="EP67" s="953"/>
      <c r="EQ67" s="953"/>
      <c r="ER67" s="953"/>
      <c r="ES67" s="953"/>
      <c r="ET67" s="953"/>
      <c r="EU67" s="953"/>
      <c r="EV67" s="953"/>
      <c r="EW67" s="953"/>
      <c r="EX67" s="953"/>
      <c r="EY67" s="953"/>
      <c r="EZ67" s="953"/>
      <c r="FA67" s="953"/>
      <c r="FB67" s="953"/>
      <c r="FC67" s="953"/>
      <c r="FD67" s="953"/>
      <c r="FE67" s="953"/>
      <c r="FF67" s="953"/>
      <c r="FG67" s="953"/>
      <c r="FH67" s="953"/>
      <c r="FI67" s="953"/>
      <c r="FJ67" s="953"/>
      <c r="FK67" s="953"/>
      <c r="FL67" s="953"/>
      <c r="FM67" s="953"/>
      <c r="FN67" s="953"/>
      <c r="FO67" s="953"/>
      <c r="FP67" s="953"/>
      <c r="FQ67" s="953"/>
      <c r="FR67" s="953"/>
      <c r="FS67" s="953"/>
      <c r="FT67" s="953"/>
      <c r="FU67" s="953"/>
      <c r="FV67" s="953"/>
      <c r="FW67" s="953"/>
      <c r="FX67" s="953"/>
      <c r="FY67" s="953"/>
      <c r="FZ67" s="953"/>
      <c r="GA67" s="953"/>
      <c r="GB67" s="953"/>
      <c r="GC67" s="953"/>
      <c r="GD67" s="953"/>
      <c r="GE67" s="953"/>
      <c r="GF67" s="953"/>
      <c r="GG67" s="953"/>
      <c r="GH67" s="953"/>
      <c r="GI67" s="953"/>
      <c r="GJ67" s="953"/>
      <c r="GK67" s="953"/>
      <c r="GL67" s="953"/>
      <c r="GM67" s="953"/>
      <c r="GN67" s="953"/>
      <c r="GO67" s="953"/>
      <c r="GP67" s="953"/>
    </row>
    <row r="68" spans="1:198" s="959" customFormat="1">
      <c r="A68" s="996" t="s">
        <v>830</v>
      </c>
      <c r="B68" s="956" t="s">
        <v>692</v>
      </c>
      <c r="C68" s="956" t="s">
        <v>9</v>
      </c>
      <c r="D68" s="956">
        <f>CEILING((10.2)*4,1)</f>
        <v>41</v>
      </c>
      <c r="E68" s="956"/>
      <c r="F68" s="951"/>
      <c r="G68" s="958"/>
    </row>
    <row r="69" spans="1:198" s="959" customFormat="1">
      <c r="A69" s="996" t="s">
        <v>831</v>
      </c>
      <c r="B69" s="956" t="s">
        <v>691</v>
      </c>
      <c r="C69" s="956" t="s">
        <v>9</v>
      </c>
      <c r="D69" s="956">
        <f>CEILING((4.9)*4,1)</f>
        <v>20</v>
      </c>
      <c r="E69" s="956"/>
      <c r="F69" s="951"/>
      <c r="G69" s="958"/>
    </row>
    <row r="70" spans="1:198" s="959" customFormat="1">
      <c r="A70" s="996" t="s">
        <v>1256</v>
      </c>
      <c r="B70" s="956" t="s">
        <v>327</v>
      </c>
      <c r="C70" s="956" t="s">
        <v>9</v>
      </c>
      <c r="D70" s="956">
        <f>CEILING(6.3*8,1)</f>
        <v>51</v>
      </c>
      <c r="E70" s="956"/>
      <c r="F70" s="951"/>
      <c r="G70" s="958"/>
    </row>
    <row r="71" spans="1:198" s="959" customFormat="1">
      <c r="A71" s="996" t="s">
        <v>1257</v>
      </c>
      <c r="B71" s="956" t="s">
        <v>347</v>
      </c>
      <c r="C71" s="956" t="s">
        <v>9</v>
      </c>
      <c r="D71" s="956">
        <f>CEILING(22.8*2,1)</f>
        <v>46</v>
      </c>
      <c r="E71" s="956"/>
      <c r="F71" s="951"/>
      <c r="G71" s="958"/>
    </row>
    <row r="72" spans="1:198" s="959" customFormat="1">
      <c r="A72" s="996" t="s">
        <v>1258</v>
      </c>
      <c r="B72" s="956" t="s">
        <v>609</v>
      </c>
      <c r="C72" s="956" t="s">
        <v>9</v>
      </c>
      <c r="D72" s="956">
        <f>CEILING(4*3*0.5,1)</f>
        <v>6</v>
      </c>
      <c r="E72" s="956"/>
      <c r="F72" s="951"/>
      <c r="G72" s="958"/>
    </row>
    <row r="73" spans="1:198" s="959" customFormat="1">
      <c r="A73" s="996" t="s">
        <v>1259</v>
      </c>
      <c r="B73" s="956" t="s">
        <v>502</v>
      </c>
      <c r="C73" s="956" t="s">
        <v>9</v>
      </c>
      <c r="D73" s="956">
        <v>6</v>
      </c>
      <c r="E73" s="956"/>
      <c r="F73" s="951"/>
      <c r="G73" s="958"/>
    </row>
    <row r="74" spans="1:198" s="959" customFormat="1">
      <c r="A74" s="995"/>
      <c r="B74" s="900"/>
      <c r="C74" s="956"/>
      <c r="D74" s="956"/>
      <c r="E74" s="956"/>
      <c r="F74" s="951"/>
      <c r="G74" s="958"/>
    </row>
    <row r="75" spans="1:198" s="959" customFormat="1">
      <c r="A75" s="995" t="s">
        <v>11</v>
      </c>
      <c r="B75" s="900" t="s">
        <v>525</v>
      </c>
      <c r="C75" s="956" t="s">
        <v>11</v>
      </c>
      <c r="D75" s="956" t="s">
        <v>11</v>
      </c>
      <c r="E75" s="956"/>
      <c r="F75" s="961"/>
      <c r="G75" s="958"/>
    </row>
    <row r="76" spans="1:198" s="959" customFormat="1">
      <c r="A76" s="995"/>
      <c r="B76" s="956" t="s">
        <v>526</v>
      </c>
      <c r="C76" s="956" t="s">
        <v>11</v>
      </c>
      <c r="D76" s="956" t="s">
        <v>11</v>
      </c>
      <c r="E76" s="956"/>
      <c r="F76" s="961"/>
      <c r="G76" s="958"/>
    </row>
    <row r="77" spans="1:198" s="959" customFormat="1">
      <c r="A77" s="995" t="s">
        <v>1260</v>
      </c>
      <c r="B77" s="956" t="s">
        <v>610</v>
      </c>
      <c r="C77" s="956" t="s">
        <v>8</v>
      </c>
      <c r="D77" s="956">
        <f>CEILING((32.76-22.26),1)</f>
        <v>11</v>
      </c>
      <c r="E77" s="956"/>
      <c r="F77" s="961"/>
      <c r="G77" s="958"/>
    </row>
    <row r="78" spans="1:198" s="959" customFormat="1">
      <c r="A78" s="995" t="s">
        <v>1261</v>
      </c>
      <c r="B78" s="956" t="s">
        <v>527</v>
      </c>
      <c r="C78" s="956" t="s">
        <v>9</v>
      </c>
      <c r="D78" s="956">
        <v>23</v>
      </c>
      <c r="E78" s="956"/>
      <c r="F78" s="961"/>
      <c r="G78" s="958"/>
    </row>
    <row r="79" spans="1:198" s="959" customFormat="1">
      <c r="A79" s="997" t="s">
        <v>11</v>
      </c>
      <c r="B79" s="955" t="s">
        <v>303</v>
      </c>
      <c r="C79" s="956" t="s">
        <v>11</v>
      </c>
      <c r="D79" s="956" t="s">
        <v>11</v>
      </c>
      <c r="E79" s="956"/>
      <c r="F79" s="961"/>
      <c r="G79" s="958"/>
    </row>
    <row r="80" spans="1:198" s="959" customFormat="1">
      <c r="A80" s="997" t="s">
        <v>1262</v>
      </c>
      <c r="B80" s="956" t="s">
        <v>611</v>
      </c>
      <c r="C80" s="956" t="s">
        <v>8</v>
      </c>
      <c r="D80" s="956">
        <f>D77</f>
        <v>11</v>
      </c>
      <c r="E80" s="956"/>
      <c r="F80" s="961"/>
      <c r="G80" s="958"/>
    </row>
    <row r="81" spans="1:198" s="959" customFormat="1">
      <c r="A81" s="997" t="s">
        <v>1263</v>
      </c>
      <c r="B81" s="956" t="s">
        <v>528</v>
      </c>
      <c r="C81" s="956" t="s">
        <v>9</v>
      </c>
      <c r="D81" s="956">
        <f>D78</f>
        <v>23</v>
      </c>
      <c r="E81" s="956"/>
      <c r="F81" s="961"/>
      <c r="G81" s="958"/>
    </row>
    <row r="82" spans="1:198" s="959" customFormat="1">
      <c r="A82" s="997"/>
      <c r="B82" s="900"/>
      <c r="C82" s="956"/>
      <c r="D82" s="956"/>
      <c r="E82" s="956"/>
      <c r="F82" s="961"/>
      <c r="G82" s="958"/>
    </row>
    <row r="83" spans="1:198" s="959" customFormat="1">
      <c r="A83" s="997" t="s">
        <v>11</v>
      </c>
      <c r="B83" s="900" t="s">
        <v>503</v>
      </c>
      <c r="C83" s="956" t="s">
        <v>11</v>
      </c>
      <c r="D83" s="956" t="s">
        <v>11</v>
      </c>
      <c r="E83" s="956"/>
      <c r="F83" s="961"/>
      <c r="G83" s="958"/>
    </row>
    <row r="84" spans="1:198" s="959" customFormat="1" ht="28.8">
      <c r="A84" s="997" t="s">
        <v>1264</v>
      </c>
      <c r="B84" s="956" t="s">
        <v>612</v>
      </c>
      <c r="C84" s="956" t="s">
        <v>9</v>
      </c>
      <c r="D84" s="956">
        <f>D81</f>
        <v>23</v>
      </c>
      <c r="E84" s="956"/>
      <c r="F84" s="961"/>
      <c r="G84" s="958"/>
    </row>
    <row r="85" spans="1:198" s="959" customFormat="1">
      <c r="A85" s="995" t="s">
        <v>11</v>
      </c>
      <c r="B85" s="900" t="s">
        <v>490</v>
      </c>
      <c r="C85" s="956" t="s">
        <v>11</v>
      </c>
      <c r="D85" s="956" t="s">
        <v>11</v>
      </c>
      <c r="E85" s="956"/>
      <c r="F85" s="961"/>
      <c r="G85" s="958"/>
    </row>
    <row r="86" spans="1:198" s="959" customFormat="1" ht="28.8">
      <c r="A86" s="995" t="s">
        <v>1265</v>
      </c>
      <c r="B86" s="956" t="s">
        <v>348</v>
      </c>
      <c r="C86" s="956" t="s">
        <v>9</v>
      </c>
      <c r="D86" s="956">
        <f>2*3</f>
        <v>6</v>
      </c>
      <c r="E86" s="956"/>
      <c r="F86" s="961"/>
      <c r="G86" s="958"/>
    </row>
    <row r="87" spans="1:198" s="959" customFormat="1">
      <c r="A87" s="995" t="s">
        <v>1266</v>
      </c>
      <c r="B87" s="956" t="s">
        <v>504</v>
      </c>
      <c r="C87" s="956" t="s">
        <v>305</v>
      </c>
      <c r="D87" s="956">
        <v>2</v>
      </c>
      <c r="E87" s="956"/>
      <c r="F87" s="961"/>
      <c r="G87" s="958"/>
    </row>
    <row r="88" spans="1:198" s="959" customFormat="1">
      <c r="A88" s="995" t="s">
        <v>1267</v>
      </c>
      <c r="B88" s="956" t="s">
        <v>505</v>
      </c>
      <c r="C88" s="956" t="s">
        <v>305</v>
      </c>
      <c r="D88" s="956">
        <f>D87</f>
        <v>2</v>
      </c>
      <c r="E88" s="956"/>
      <c r="F88" s="961"/>
      <c r="G88" s="958"/>
    </row>
    <row r="89" spans="1:198" s="959" customFormat="1" ht="28.8">
      <c r="A89" s="995" t="s">
        <v>1268</v>
      </c>
      <c r="B89" s="956" t="s">
        <v>1202</v>
      </c>
      <c r="C89" s="956" t="s">
        <v>9</v>
      </c>
      <c r="D89" s="956">
        <f>D84</f>
        <v>23</v>
      </c>
      <c r="E89" s="956"/>
      <c r="F89" s="961"/>
      <c r="G89" s="958"/>
    </row>
    <row r="90" spans="1:198" s="959" customFormat="1">
      <c r="A90" s="998"/>
      <c r="B90" s="900"/>
      <c r="C90" s="900"/>
      <c r="D90" s="900"/>
      <c r="E90" s="900"/>
      <c r="F90" s="961"/>
      <c r="G90" s="958"/>
    </row>
    <row r="91" spans="1:198" s="964" customFormat="1">
      <c r="A91" s="998"/>
      <c r="B91" s="900" t="s">
        <v>1113</v>
      </c>
      <c r="C91" s="900"/>
      <c r="D91" s="900"/>
      <c r="E91" s="900"/>
      <c r="F91" s="962"/>
      <c r="G91" s="963"/>
    </row>
    <row r="92" spans="1:198" s="964" customFormat="1">
      <c r="A92" s="998"/>
      <c r="B92" s="900"/>
      <c r="C92" s="900"/>
      <c r="D92" s="900"/>
      <c r="E92" s="900"/>
      <c r="F92" s="962"/>
      <c r="G92" s="963"/>
    </row>
    <row r="93" spans="1:198" s="964" customFormat="1">
      <c r="A93" s="998"/>
      <c r="B93" s="900"/>
      <c r="C93" s="900"/>
      <c r="D93" s="900"/>
      <c r="E93" s="900"/>
      <c r="F93" s="962"/>
      <c r="G93" s="963"/>
    </row>
    <row r="94" spans="1:198" s="964" customFormat="1">
      <c r="A94" s="998"/>
      <c r="B94" s="900"/>
      <c r="C94" s="900"/>
      <c r="D94" s="900"/>
      <c r="E94" s="900"/>
      <c r="F94" s="962"/>
      <c r="G94" s="963"/>
    </row>
    <row r="95" spans="1:198" s="954" customFormat="1">
      <c r="A95" s="999">
        <v>7.5</v>
      </c>
      <c r="B95" s="942" t="s">
        <v>1114</v>
      </c>
      <c r="C95" s="965"/>
      <c r="D95" s="965"/>
      <c r="E95" s="944"/>
      <c r="F95" s="961"/>
      <c r="G95" s="952"/>
      <c r="H95" s="953"/>
      <c r="I95" s="953"/>
      <c r="J95" s="953"/>
      <c r="K95" s="953"/>
      <c r="L95" s="953"/>
      <c r="M95" s="953"/>
      <c r="N95" s="953"/>
      <c r="O95" s="953"/>
      <c r="P95" s="953"/>
      <c r="Q95" s="953"/>
      <c r="R95" s="953"/>
      <c r="S95" s="953"/>
      <c r="T95" s="953"/>
      <c r="U95" s="953"/>
      <c r="V95" s="953"/>
      <c r="W95" s="953"/>
      <c r="X95" s="953"/>
      <c r="Y95" s="953"/>
      <c r="Z95" s="953"/>
      <c r="AA95" s="953"/>
      <c r="AB95" s="953"/>
      <c r="AC95" s="953"/>
      <c r="AD95" s="953"/>
      <c r="AE95" s="953"/>
      <c r="AF95" s="953"/>
      <c r="AG95" s="953"/>
      <c r="AH95" s="953"/>
      <c r="AI95" s="953"/>
      <c r="AJ95" s="953"/>
      <c r="AK95" s="953"/>
      <c r="AL95" s="953"/>
      <c r="AM95" s="953"/>
      <c r="AN95" s="953"/>
      <c r="AO95" s="953"/>
      <c r="AP95" s="953"/>
      <c r="AQ95" s="953"/>
      <c r="AR95" s="953"/>
      <c r="AS95" s="953"/>
      <c r="AT95" s="953"/>
      <c r="AU95" s="953"/>
      <c r="AV95" s="953"/>
      <c r="AW95" s="953"/>
      <c r="AX95" s="953"/>
      <c r="AY95" s="953"/>
      <c r="AZ95" s="953"/>
      <c r="BA95" s="953"/>
      <c r="BB95" s="953"/>
      <c r="BC95" s="953"/>
      <c r="BD95" s="953"/>
      <c r="BE95" s="953"/>
      <c r="BF95" s="953"/>
      <c r="BG95" s="953"/>
      <c r="BH95" s="953"/>
      <c r="BI95" s="953"/>
      <c r="BJ95" s="953"/>
      <c r="BK95" s="953"/>
      <c r="BL95" s="953"/>
      <c r="BM95" s="953"/>
      <c r="BN95" s="953"/>
      <c r="BO95" s="953"/>
      <c r="BP95" s="953"/>
      <c r="BQ95" s="953"/>
      <c r="BR95" s="953"/>
      <c r="BS95" s="953"/>
      <c r="BT95" s="953"/>
      <c r="BU95" s="953"/>
      <c r="BV95" s="953"/>
      <c r="BW95" s="953"/>
      <c r="BX95" s="953"/>
      <c r="BY95" s="953"/>
      <c r="BZ95" s="953"/>
      <c r="CA95" s="953"/>
      <c r="CB95" s="953"/>
      <c r="CC95" s="953"/>
      <c r="CD95" s="953"/>
      <c r="CE95" s="953"/>
      <c r="CF95" s="953"/>
      <c r="CG95" s="953"/>
      <c r="CH95" s="953"/>
      <c r="CI95" s="953"/>
      <c r="CJ95" s="953"/>
      <c r="CK95" s="953"/>
      <c r="CL95" s="953"/>
      <c r="CM95" s="953"/>
      <c r="CN95" s="953"/>
      <c r="CO95" s="953"/>
      <c r="CP95" s="953"/>
      <c r="CQ95" s="953"/>
      <c r="CR95" s="953"/>
      <c r="CS95" s="953"/>
      <c r="CT95" s="953"/>
      <c r="CU95" s="953"/>
      <c r="CV95" s="953"/>
      <c r="CW95" s="953"/>
      <c r="CX95" s="953"/>
      <c r="CY95" s="953"/>
      <c r="CZ95" s="953"/>
      <c r="DA95" s="953"/>
      <c r="DB95" s="953"/>
      <c r="DC95" s="953"/>
      <c r="DD95" s="953"/>
      <c r="DE95" s="953"/>
      <c r="DF95" s="953"/>
      <c r="DG95" s="953"/>
      <c r="DH95" s="953"/>
      <c r="DI95" s="953"/>
      <c r="DJ95" s="953"/>
      <c r="DK95" s="953"/>
      <c r="DL95" s="953"/>
      <c r="DM95" s="953"/>
      <c r="DN95" s="953"/>
      <c r="DO95" s="953"/>
      <c r="DP95" s="953"/>
      <c r="DQ95" s="953"/>
      <c r="DR95" s="953"/>
      <c r="DS95" s="953"/>
      <c r="DT95" s="953"/>
      <c r="DU95" s="953"/>
      <c r="DV95" s="953"/>
      <c r="DW95" s="953"/>
      <c r="DX95" s="953"/>
      <c r="DY95" s="953"/>
      <c r="DZ95" s="953"/>
      <c r="EA95" s="953"/>
      <c r="EB95" s="953"/>
      <c r="EC95" s="953"/>
      <c r="ED95" s="953"/>
      <c r="EE95" s="953"/>
      <c r="EF95" s="953"/>
      <c r="EG95" s="953"/>
      <c r="EH95" s="953"/>
      <c r="EI95" s="953"/>
      <c r="EJ95" s="953"/>
      <c r="EK95" s="953"/>
      <c r="EL95" s="953"/>
      <c r="EM95" s="953"/>
      <c r="EN95" s="953"/>
      <c r="EO95" s="953"/>
      <c r="EP95" s="953"/>
      <c r="EQ95" s="953"/>
      <c r="ER95" s="953"/>
      <c r="ES95" s="953"/>
      <c r="ET95" s="953"/>
      <c r="EU95" s="953"/>
      <c r="EV95" s="953"/>
      <c r="EW95" s="953"/>
      <c r="EX95" s="953"/>
      <c r="EY95" s="953"/>
      <c r="EZ95" s="953"/>
      <c r="FA95" s="953"/>
      <c r="FB95" s="953"/>
      <c r="FC95" s="953"/>
      <c r="FD95" s="953"/>
      <c r="FE95" s="953"/>
      <c r="FF95" s="953"/>
      <c r="FG95" s="953"/>
      <c r="FH95" s="953"/>
      <c r="FI95" s="953"/>
      <c r="FJ95" s="953"/>
      <c r="FK95" s="953"/>
      <c r="FL95" s="953"/>
      <c r="FM95" s="953"/>
      <c r="FN95" s="953"/>
      <c r="FO95" s="953"/>
      <c r="FP95" s="953"/>
      <c r="FQ95" s="953"/>
      <c r="FR95" s="953"/>
      <c r="FS95" s="953"/>
      <c r="FT95" s="953"/>
      <c r="FU95" s="953"/>
      <c r="FV95" s="953"/>
      <c r="FW95" s="953"/>
      <c r="FX95" s="953"/>
      <c r="FY95" s="953"/>
      <c r="FZ95" s="953"/>
      <c r="GA95" s="953"/>
      <c r="GB95" s="953"/>
      <c r="GC95" s="953"/>
      <c r="GD95" s="953"/>
      <c r="GE95" s="953"/>
      <c r="GF95" s="953"/>
      <c r="GG95" s="953"/>
      <c r="GH95" s="953"/>
      <c r="GI95" s="953"/>
      <c r="GJ95" s="953"/>
      <c r="GK95" s="953"/>
      <c r="GL95" s="953"/>
      <c r="GM95" s="953"/>
      <c r="GN95" s="953"/>
      <c r="GO95" s="953"/>
      <c r="GP95" s="953"/>
    </row>
    <row r="96" spans="1:198" s="959" customFormat="1" ht="28.8">
      <c r="A96" s="1000" t="s">
        <v>832</v>
      </c>
      <c r="B96" s="1034" t="s">
        <v>709</v>
      </c>
      <c r="C96" s="966" t="s">
        <v>305</v>
      </c>
      <c r="D96" s="966">
        <v>2</v>
      </c>
      <c r="E96" s="966"/>
      <c r="F96" s="961"/>
      <c r="G96" s="958"/>
    </row>
    <row r="97" spans="1:198" s="959" customFormat="1" ht="28.8">
      <c r="A97" s="1000" t="s">
        <v>833</v>
      </c>
      <c r="B97" s="956" t="s">
        <v>614</v>
      </c>
      <c r="C97" s="966" t="s">
        <v>9</v>
      </c>
      <c r="D97" s="966">
        <f>CEILING(5.1*D96,1)</f>
        <v>11</v>
      </c>
      <c r="E97" s="966"/>
      <c r="F97" s="961"/>
      <c r="G97" s="958"/>
    </row>
    <row r="98" spans="1:198" s="959" customFormat="1">
      <c r="A98" s="1000" t="s">
        <v>1269</v>
      </c>
      <c r="B98" s="956" t="s">
        <v>615</v>
      </c>
      <c r="C98" s="966" t="s">
        <v>9</v>
      </c>
      <c r="D98" s="966">
        <f>D97*2</f>
        <v>22</v>
      </c>
      <c r="E98" s="966"/>
      <c r="F98" s="961"/>
      <c r="G98" s="958"/>
    </row>
    <row r="99" spans="1:198" s="959" customFormat="1">
      <c r="A99" s="1000" t="s">
        <v>1270</v>
      </c>
      <c r="B99" s="956" t="s">
        <v>616</v>
      </c>
      <c r="C99" s="966" t="s">
        <v>9</v>
      </c>
      <c r="D99" s="966">
        <f>D98</f>
        <v>22</v>
      </c>
      <c r="E99" s="966"/>
      <c r="F99" s="961"/>
      <c r="G99" s="958"/>
    </row>
    <row r="100" spans="1:198" s="959" customFormat="1">
      <c r="A100" s="1000" t="s">
        <v>11</v>
      </c>
      <c r="B100" s="900" t="s">
        <v>617</v>
      </c>
      <c r="C100" s="966" t="s">
        <v>11</v>
      </c>
      <c r="D100" s="966" t="s">
        <v>11</v>
      </c>
      <c r="E100" s="966"/>
      <c r="F100" s="961"/>
      <c r="G100" s="958"/>
    </row>
    <row r="101" spans="1:198" s="959" customFormat="1" ht="28.8">
      <c r="A101" s="1000" t="s">
        <v>1271</v>
      </c>
      <c r="B101" s="956" t="s">
        <v>618</v>
      </c>
      <c r="C101" s="966" t="s">
        <v>11</v>
      </c>
      <c r="D101" s="966" t="s">
        <v>11</v>
      </c>
      <c r="E101" s="966"/>
      <c r="F101" s="961"/>
      <c r="G101" s="958"/>
    </row>
    <row r="102" spans="1:198" s="959" customFormat="1">
      <c r="A102" s="1000" t="s">
        <v>1272</v>
      </c>
      <c r="B102" s="956" t="s">
        <v>619</v>
      </c>
      <c r="C102" s="966" t="s">
        <v>305</v>
      </c>
      <c r="D102" s="966">
        <f>SUM(D96:D96)</f>
        <v>2</v>
      </c>
      <c r="E102" s="966"/>
      <c r="F102" s="961"/>
      <c r="G102" s="958"/>
    </row>
    <row r="103" spans="1:198" s="970" customFormat="1">
      <c r="A103" s="1000" t="s">
        <v>1273</v>
      </c>
      <c r="B103" s="894" t="s">
        <v>620</v>
      </c>
      <c r="C103" s="967" t="s">
        <v>621</v>
      </c>
      <c r="D103" s="967">
        <f>D96*2*3/2</f>
        <v>6</v>
      </c>
      <c r="E103" s="967"/>
      <c r="F103" s="968"/>
      <c r="G103" s="969"/>
    </row>
    <row r="104" spans="1:198" s="959" customFormat="1">
      <c r="A104" s="1000" t="s">
        <v>1274</v>
      </c>
      <c r="B104" s="956" t="s">
        <v>622</v>
      </c>
      <c r="C104" s="966" t="s">
        <v>305</v>
      </c>
      <c r="D104" s="966">
        <f>D102*2</f>
        <v>4</v>
      </c>
      <c r="E104" s="966"/>
      <c r="F104" s="961"/>
      <c r="G104" s="958"/>
    </row>
    <row r="105" spans="1:198" s="959" customFormat="1">
      <c r="A105" s="1000" t="s">
        <v>11</v>
      </c>
      <c r="B105" s="900" t="s">
        <v>623</v>
      </c>
      <c r="C105" s="966" t="s">
        <v>11</v>
      </c>
      <c r="D105" s="966" t="s">
        <v>11</v>
      </c>
      <c r="E105" s="966"/>
      <c r="F105" s="961"/>
      <c r="G105" s="958"/>
    </row>
    <row r="106" spans="1:198" s="959" customFormat="1" ht="28.8">
      <c r="A106" s="1000" t="s">
        <v>1275</v>
      </c>
      <c r="B106" s="956" t="s">
        <v>624</v>
      </c>
      <c r="C106" s="966" t="s">
        <v>329</v>
      </c>
      <c r="D106" s="966" t="s">
        <v>468</v>
      </c>
      <c r="E106" s="966"/>
      <c r="F106" s="961"/>
      <c r="G106" s="958"/>
    </row>
    <row r="107" spans="1:198" s="959" customFormat="1">
      <c r="A107" s="1000"/>
      <c r="B107" s="956"/>
      <c r="C107" s="966"/>
      <c r="D107" s="966"/>
      <c r="E107" s="966"/>
      <c r="F107" s="961"/>
      <c r="G107" s="958"/>
    </row>
    <row r="108" spans="1:198" s="964" customFormat="1">
      <c r="A108" s="1001"/>
      <c r="B108" s="955" t="s">
        <v>1115</v>
      </c>
      <c r="C108" s="971"/>
      <c r="D108" s="971"/>
      <c r="E108" s="971"/>
      <c r="F108" s="962"/>
      <c r="G108" s="963"/>
    </row>
    <row r="109" spans="1:198" s="964" customFormat="1">
      <c r="A109" s="1001"/>
      <c r="B109" s="955"/>
      <c r="C109" s="971"/>
      <c r="D109" s="971"/>
      <c r="E109" s="971"/>
      <c r="F109" s="962"/>
      <c r="G109" s="963"/>
    </row>
    <row r="110" spans="1:198" s="959" customFormat="1">
      <c r="A110" s="1000"/>
      <c r="B110" s="956"/>
      <c r="C110" s="966"/>
      <c r="D110" s="966"/>
      <c r="E110" s="966"/>
      <c r="F110" s="961"/>
      <c r="G110" s="958"/>
    </row>
    <row r="111" spans="1:198" s="959" customFormat="1">
      <c r="A111" s="1000"/>
      <c r="B111" s="956"/>
      <c r="C111" s="966"/>
      <c r="D111" s="966"/>
      <c r="E111" s="966"/>
      <c r="F111" s="961"/>
      <c r="G111" s="958"/>
    </row>
    <row r="112" spans="1:198" s="948" customFormat="1">
      <c r="A112" s="994">
        <v>7.6</v>
      </c>
      <c r="B112" s="942" t="s">
        <v>1116</v>
      </c>
      <c r="C112" s="943"/>
      <c r="D112" s="965"/>
      <c r="E112" s="944"/>
      <c r="F112" s="961"/>
      <c r="G112" s="946"/>
      <c r="H112" s="947"/>
      <c r="I112" s="947"/>
      <c r="J112" s="947"/>
      <c r="K112" s="947"/>
      <c r="L112" s="947"/>
      <c r="M112" s="947"/>
      <c r="N112" s="947"/>
      <c r="O112" s="947"/>
      <c r="P112" s="947"/>
      <c r="Q112" s="947"/>
      <c r="R112" s="947"/>
      <c r="S112" s="947"/>
      <c r="T112" s="947"/>
      <c r="U112" s="947"/>
      <c r="V112" s="947"/>
      <c r="W112" s="947"/>
      <c r="X112" s="947"/>
      <c r="Y112" s="947"/>
      <c r="Z112" s="947"/>
      <c r="AA112" s="947"/>
      <c r="AB112" s="947"/>
      <c r="AC112" s="947"/>
      <c r="AD112" s="947"/>
      <c r="AE112" s="947"/>
      <c r="AF112" s="947"/>
      <c r="AG112" s="947"/>
      <c r="AH112" s="947"/>
      <c r="AI112" s="947"/>
      <c r="AJ112" s="947"/>
      <c r="AK112" s="947"/>
      <c r="AL112" s="947"/>
      <c r="AM112" s="947"/>
      <c r="AN112" s="947"/>
      <c r="AO112" s="947"/>
      <c r="AP112" s="947"/>
      <c r="AQ112" s="947"/>
      <c r="AR112" s="947"/>
      <c r="AS112" s="947"/>
      <c r="AT112" s="947"/>
      <c r="AU112" s="947"/>
      <c r="AV112" s="947"/>
      <c r="AW112" s="947"/>
      <c r="AX112" s="947"/>
      <c r="AY112" s="947"/>
      <c r="AZ112" s="947"/>
      <c r="BA112" s="947"/>
      <c r="BB112" s="947"/>
      <c r="BC112" s="947"/>
      <c r="BD112" s="947"/>
      <c r="BE112" s="947"/>
      <c r="BF112" s="947"/>
      <c r="BG112" s="947"/>
      <c r="BH112" s="947"/>
      <c r="BI112" s="947"/>
      <c r="BJ112" s="947"/>
      <c r="BK112" s="947"/>
      <c r="BL112" s="947"/>
      <c r="BM112" s="947"/>
      <c r="BN112" s="947"/>
      <c r="BO112" s="947"/>
      <c r="BP112" s="947"/>
      <c r="BQ112" s="947"/>
      <c r="BR112" s="947"/>
      <c r="BS112" s="947"/>
      <c r="BT112" s="947"/>
      <c r="BU112" s="947"/>
      <c r="BV112" s="947"/>
      <c r="BW112" s="947"/>
      <c r="BX112" s="947"/>
      <c r="BY112" s="947"/>
      <c r="BZ112" s="947"/>
      <c r="CA112" s="947"/>
      <c r="CB112" s="947"/>
      <c r="CC112" s="947"/>
      <c r="CD112" s="947"/>
      <c r="CE112" s="947"/>
      <c r="CF112" s="947"/>
      <c r="CG112" s="947"/>
      <c r="CH112" s="947"/>
      <c r="CI112" s="947"/>
      <c r="CJ112" s="947"/>
      <c r="CK112" s="947"/>
      <c r="CL112" s="947"/>
      <c r="CM112" s="947"/>
      <c r="CN112" s="947"/>
      <c r="CO112" s="947"/>
      <c r="CP112" s="947"/>
      <c r="CQ112" s="947"/>
      <c r="CR112" s="947"/>
      <c r="CS112" s="947"/>
      <c r="CT112" s="947"/>
      <c r="CU112" s="947"/>
      <c r="CV112" s="947"/>
      <c r="CW112" s="947"/>
      <c r="CX112" s="947"/>
      <c r="CY112" s="947"/>
      <c r="CZ112" s="947"/>
      <c r="DA112" s="947"/>
      <c r="DB112" s="947"/>
      <c r="DC112" s="947"/>
      <c r="DD112" s="947"/>
      <c r="DE112" s="947"/>
      <c r="DF112" s="947"/>
      <c r="DG112" s="947"/>
      <c r="DH112" s="947"/>
      <c r="DI112" s="947"/>
      <c r="DJ112" s="947"/>
      <c r="DK112" s="947"/>
      <c r="DL112" s="947"/>
      <c r="DM112" s="947"/>
      <c r="DN112" s="947"/>
      <c r="DO112" s="947"/>
      <c r="DP112" s="947"/>
      <c r="DQ112" s="947"/>
      <c r="DR112" s="947"/>
      <c r="DS112" s="947"/>
      <c r="DT112" s="947"/>
      <c r="DU112" s="947"/>
      <c r="DV112" s="947"/>
      <c r="DW112" s="947"/>
      <c r="DX112" s="947"/>
      <c r="DY112" s="947"/>
      <c r="DZ112" s="947"/>
      <c r="EA112" s="947"/>
      <c r="EB112" s="947"/>
      <c r="EC112" s="947"/>
      <c r="ED112" s="947"/>
      <c r="EE112" s="947"/>
      <c r="EF112" s="947"/>
      <c r="EG112" s="947"/>
      <c r="EH112" s="947"/>
      <c r="EI112" s="947"/>
      <c r="EJ112" s="947"/>
      <c r="EK112" s="947"/>
      <c r="EL112" s="947"/>
      <c r="EM112" s="947"/>
      <c r="EN112" s="947"/>
      <c r="EO112" s="947"/>
      <c r="EP112" s="947"/>
      <c r="EQ112" s="947"/>
      <c r="ER112" s="947"/>
      <c r="ES112" s="947"/>
      <c r="ET112" s="947"/>
      <c r="EU112" s="947"/>
      <c r="EV112" s="947"/>
      <c r="EW112" s="947"/>
      <c r="EX112" s="947"/>
      <c r="EY112" s="947"/>
      <c r="EZ112" s="947"/>
      <c r="FA112" s="947"/>
      <c r="FB112" s="947"/>
      <c r="FC112" s="947"/>
      <c r="FD112" s="947"/>
      <c r="FE112" s="947"/>
      <c r="FF112" s="947"/>
      <c r="FG112" s="947"/>
      <c r="FH112" s="947"/>
      <c r="FI112" s="947"/>
      <c r="FJ112" s="947"/>
      <c r="FK112" s="947"/>
      <c r="FL112" s="947"/>
      <c r="FM112" s="947"/>
      <c r="FN112" s="947"/>
      <c r="FO112" s="947"/>
      <c r="FP112" s="947"/>
      <c r="FQ112" s="947"/>
      <c r="FR112" s="947"/>
      <c r="FS112" s="947"/>
      <c r="FT112" s="947"/>
      <c r="FU112" s="947"/>
      <c r="FV112" s="947"/>
      <c r="FW112" s="947"/>
      <c r="FX112" s="947"/>
      <c r="FY112" s="947"/>
      <c r="FZ112" s="947"/>
      <c r="GA112" s="947"/>
      <c r="GB112" s="947"/>
      <c r="GC112" s="947"/>
      <c r="GD112" s="947"/>
      <c r="GE112" s="947"/>
      <c r="GF112" s="947"/>
      <c r="GG112" s="947"/>
      <c r="GH112" s="947"/>
      <c r="GI112" s="947"/>
      <c r="GJ112" s="947"/>
      <c r="GK112" s="947"/>
      <c r="GL112" s="947"/>
      <c r="GM112" s="947"/>
      <c r="GN112" s="947"/>
      <c r="GO112" s="947"/>
      <c r="GP112" s="947"/>
    </row>
    <row r="113" spans="1:198" s="954" customFormat="1" ht="28.8">
      <c r="A113" s="996" t="s">
        <v>835</v>
      </c>
      <c r="B113" s="960" t="s">
        <v>625</v>
      </c>
      <c r="C113" s="949" t="s">
        <v>304</v>
      </c>
      <c r="D113" s="941">
        <v>4</v>
      </c>
      <c r="E113" s="950"/>
      <c r="F113" s="961"/>
      <c r="G113" s="952"/>
      <c r="H113" s="953"/>
      <c r="I113" s="953"/>
      <c r="J113" s="953"/>
      <c r="K113" s="953"/>
      <c r="L113" s="953"/>
      <c r="M113" s="953"/>
      <c r="N113" s="953"/>
      <c r="O113" s="953"/>
      <c r="P113" s="953"/>
      <c r="Q113" s="953"/>
      <c r="R113" s="953"/>
      <c r="S113" s="953"/>
      <c r="T113" s="953"/>
      <c r="U113" s="953"/>
      <c r="V113" s="953"/>
      <c r="W113" s="953"/>
      <c r="X113" s="953"/>
      <c r="Y113" s="953"/>
      <c r="Z113" s="953"/>
      <c r="AA113" s="953"/>
      <c r="AB113" s="953"/>
      <c r="AC113" s="953"/>
      <c r="AD113" s="953"/>
      <c r="AE113" s="953"/>
      <c r="AF113" s="953"/>
      <c r="AG113" s="953"/>
      <c r="AH113" s="953"/>
      <c r="AI113" s="953"/>
      <c r="AJ113" s="953"/>
      <c r="AK113" s="953"/>
      <c r="AL113" s="953"/>
      <c r="AM113" s="953"/>
      <c r="AN113" s="953"/>
      <c r="AO113" s="953"/>
      <c r="AP113" s="953"/>
      <c r="AQ113" s="953"/>
      <c r="AR113" s="953"/>
      <c r="AS113" s="953"/>
      <c r="AT113" s="953"/>
      <c r="AU113" s="953"/>
      <c r="AV113" s="953"/>
      <c r="AW113" s="953"/>
      <c r="AX113" s="953"/>
      <c r="AY113" s="953"/>
      <c r="AZ113" s="953"/>
      <c r="BA113" s="953"/>
      <c r="BB113" s="953"/>
      <c r="BC113" s="953"/>
      <c r="BD113" s="953"/>
      <c r="BE113" s="953"/>
      <c r="BF113" s="953"/>
      <c r="BG113" s="953"/>
      <c r="BH113" s="953"/>
      <c r="BI113" s="953"/>
      <c r="BJ113" s="953"/>
      <c r="BK113" s="953"/>
      <c r="BL113" s="953"/>
      <c r="BM113" s="953"/>
      <c r="BN113" s="953"/>
      <c r="BO113" s="953"/>
      <c r="BP113" s="953"/>
      <c r="BQ113" s="953"/>
      <c r="BR113" s="953"/>
      <c r="BS113" s="953"/>
      <c r="BT113" s="953"/>
      <c r="BU113" s="953"/>
      <c r="BV113" s="953"/>
      <c r="BW113" s="953"/>
      <c r="BX113" s="953"/>
      <c r="BY113" s="953"/>
      <c r="BZ113" s="953"/>
      <c r="CA113" s="953"/>
      <c r="CB113" s="953"/>
      <c r="CC113" s="953"/>
      <c r="CD113" s="953"/>
      <c r="CE113" s="953"/>
      <c r="CF113" s="953"/>
      <c r="CG113" s="953"/>
      <c r="CH113" s="953"/>
      <c r="CI113" s="953"/>
      <c r="CJ113" s="953"/>
      <c r="CK113" s="953"/>
      <c r="CL113" s="953"/>
      <c r="CM113" s="953"/>
      <c r="CN113" s="953"/>
      <c r="CO113" s="953"/>
      <c r="CP113" s="953"/>
      <c r="CQ113" s="953"/>
      <c r="CR113" s="953"/>
      <c r="CS113" s="953"/>
      <c r="CT113" s="953"/>
      <c r="CU113" s="953"/>
      <c r="CV113" s="953"/>
      <c r="CW113" s="953"/>
      <c r="CX113" s="953"/>
      <c r="CY113" s="953"/>
      <c r="CZ113" s="953"/>
      <c r="DA113" s="953"/>
      <c r="DB113" s="953"/>
      <c r="DC113" s="953"/>
      <c r="DD113" s="953"/>
      <c r="DE113" s="953"/>
      <c r="DF113" s="953"/>
      <c r="DG113" s="953"/>
      <c r="DH113" s="953"/>
      <c r="DI113" s="953"/>
      <c r="DJ113" s="953"/>
      <c r="DK113" s="953"/>
      <c r="DL113" s="953"/>
      <c r="DM113" s="953"/>
      <c r="DN113" s="953"/>
      <c r="DO113" s="953"/>
      <c r="DP113" s="953"/>
      <c r="DQ113" s="953"/>
      <c r="DR113" s="953"/>
      <c r="DS113" s="953"/>
      <c r="DT113" s="953"/>
      <c r="DU113" s="953"/>
      <c r="DV113" s="953"/>
      <c r="DW113" s="953"/>
      <c r="DX113" s="953"/>
      <c r="DY113" s="953"/>
      <c r="DZ113" s="953"/>
      <c r="EA113" s="953"/>
      <c r="EB113" s="953"/>
      <c r="EC113" s="953"/>
      <c r="ED113" s="953"/>
      <c r="EE113" s="953"/>
      <c r="EF113" s="953"/>
      <c r="EG113" s="953"/>
      <c r="EH113" s="953"/>
      <c r="EI113" s="953"/>
      <c r="EJ113" s="953"/>
      <c r="EK113" s="953"/>
      <c r="EL113" s="953"/>
      <c r="EM113" s="953"/>
      <c r="EN113" s="953"/>
      <c r="EO113" s="953"/>
      <c r="EP113" s="953"/>
      <c r="EQ113" s="953"/>
      <c r="ER113" s="953"/>
      <c r="ES113" s="953"/>
      <c r="ET113" s="953"/>
      <c r="EU113" s="953"/>
      <c r="EV113" s="953"/>
      <c r="EW113" s="953"/>
      <c r="EX113" s="953"/>
      <c r="EY113" s="953"/>
      <c r="EZ113" s="953"/>
      <c r="FA113" s="953"/>
      <c r="FB113" s="953"/>
      <c r="FC113" s="953"/>
      <c r="FD113" s="953"/>
      <c r="FE113" s="953"/>
      <c r="FF113" s="953"/>
      <c r="FG113" s="953"/>
      <c r="FH113" s="953"/>
      <c r="FI113" s="953"/>
      <c r="FJ113" s="953"/>
      <c r="FK113" s="953"/>
      <c r="FL113" s="953"/>
      <c r="FM113" s="953"/>
      <c r="FN113" s="953"/>
      <c r="FO113" s="953"/>
      <c r="FP113" s="953"/>
      <c r="FQ113" s="953"/>
      <c r="FR113" s="953"/>
      <c r="FS113" s="953"/>
      <c r="FT113" s="953"/>
      <c r="FU113" s="953"/>
      <c r="FV113" s="953"/>
      <c r="FW113" s="953"/>
      <c r="FX113" s="953"/>
      <c r="FY113" s="953"/>
      <c r="FZ113" s="953"/>
      <c r="GA113" s="953"/>
      <c r="GB113" s="953"/>
      <c r="GC113" s="953"/>
      <c r="GD113" s="953"/>
      <c r="GE113" s="953"/>
      <c r="GF113" s="953"/>
      <c r="GG113" s="953"/>
      <c r="GH113" s="953"/>
      <c r="GI113" s="953"/>
      <c r="GJ113" s="953"/>
      <c r="GK113" s="953"/>
      <c r="GL113" s="953"/>
      <c r="GM113" s="953"/>
      <c r="GN113" s="953"/>
      <c r="GO113" s="953"/>
      <c r="GP113" s="953"/>
    </row>
    <row r="114" spans="1:198" s="932" customFormat="1">
      <c r="A114" s="915"/>
      <c r="B114" s="862"/>
      <c r="C114" s="924"/>
      <c r="D114" s="860"/>
      <c r="E114" s="858"/>
      <c r="F114" s="926"/>
    </row>
    <row r="115" spans="1:198" s="964" customFormat="1">
      <c r="A115" s="1002"/>
      <c r="B115" s="972" t="s">
        <v>1117</v>
      </c>
      <c r="C115" s="901"/>
      <c r="D115" s="899"/>
      <c r="E115" s="899"/>
      <c r="F115" s="962"/>
      <c r="G115" s="963"/>
    </row>
    <row r="116" spans="1:198" s="964" customFormat="1">
      <c r="A116" s="1002"/>
      <c r="B116" s="972"/>
      <c r="C116" s="901"/>
      <c r="D116" s="899"/>
      <c r="E116" s="899"/>
      <c r="F116" s="962"/>
      <c r="G116" s="963"/>
    </row>
    <row r="117" spans="1:198" s="964" customFormat="1">
      <c r="A117" s="1002"/>
      <c r="B117" s="972"/>
      <c r="C117" s="901"/>
      <c r="D117" s="899"/>
      <c r="E117" s="899"/>
      <c r="F117" s="962"/>
      <c r="G117" s="963"/>
    </row>
    <row r="118" spans="1:198" s="964" customFormat="1">
      <c r="A118" s="917" t="s">
        <v>260</v>
      </c>
      <c r="B118" s="911" t="s">
        <v>13</v>
      </c>
      <c r="C118" s="912" t="s">
        <v>330</v>
      </c>
      <c r="D118" s="913" t="s">
        <v>331</v>
      </c>
      <c r="E118" s="914" t="s">
        <v>332</v>
      </c>
      <c r="F118" s="918"/>
      <c r="G118" s="963"/>
    </row>
    <row r="119" spans="1:198" s="964" customFormat="1">
      <c r="A119" s="1002"/>
      <c r="B119" s="899"/>
      <c r="C119" s="899"/>
      <c r="D119" s="899"/>
      <c r="E119" s="899"/>
      <c r="F119" s="973"/>
      <c r="G119" s="963"/>
    </row>
    <row r="120" spans="1:198" s="932" customFormat="1">
      <c r="A120" s="927">
        <v>7.7</v>
      </c>
      <c r="B120" s="852" t="s">
        <v>1118</v>
      </c>
      <c r="C120" s="858"/>
      <c r="D120" s="860"/>
      <c r="E120" s="858"/>
      <c r="F120" s="916"/>
    </row>
    <row r="121" spans="1:198" s="932" customFormat="1">
      <c r="A121" s="915"/>
      <c r="B121" s="865" t="s">
        <v>299</v>
      </c>
      <c r="C121" s="858"/>
      <c r="D121" s="860"/>
      <c r="E121" s="858"/>
      <c r="F121" s="916"/>
    </row>
    <row r="122" spans="1:198" s="932" customFormat="1">
      <c r="A122" s="915"/>
      <c r="B122" s="865" t="s">
        <v>1119</v>
      </c>
      <c r="C122" s="858"/>
      <c r="D122" s="860"/>
      <c r="E122" s="858"/>
      <c r="F122" s="916"/>
    </row>
    <row r="123" spans="1:198" s="932" customFormat="1">
      <c r="A123" s="915" t="s">
        <v>1276</v>
      </c>
      <c r="B123" s="863" t="s">
        <v>300</v>
      </c>
      <c r="C123" s="858" t="s">
        <v>8</v>
      </c>
      <c r="D123" s="860">
        <f>CEILING((19)*2,1)</f>
        <v>38</v>
      </c>
      <c r="E123" s="858"/>
      <c r="F123" s="916"/>
    </row>
    <row r="124" spans="1:198" s="932" customFormat="1">
      <c r="A124" s="915"/>
      <c r="B124" s="865" t="s">
        <v>1120</v>
      </c>
      <c r="C124" s="858"/>
      <c r="D124" s="860"/>
      <c r="E124" s="858"/>
      <c r="F124" s="916"/>
    </row>
    <row r="125" spans="1:198" s="932" customFormat="1">
      <c r="A125" s="915" t="s">
        <v>1277</v>
      </c>
      <c r="B125" s="863" t="s">
        <v>1121</v>
      </c>
      <c r="C125" s="858" t="s">
        <v>8</v>
      </c>
      <c r="D125" s="860">
        <f>CEILING((17.4+3.8)*2,1)</f>
        <v>43</v>
      </c>
      <c r="E125" s="858"/>
      <c r="F125" s="916"/>
    </row>
    <row r="126" spans="1:198" s="932" customFormat="1">
      <c r="A126" s="915"/>
      <c r="B126" s="852"/>
      <c r="C126" s="858"/>
      <c r="D126" s="860"/>
      <c r="E126" s="858"/>
      <c r="F126" s="916"/>
    </row>
    <row r="127" spans="1:198" s="932" customFormat="1">
      <c r="A127" s="915"/>
      <c r="B127" s="852" t="s">
        <v>301</v>
      </c>
      <c r="C127" s="858"/>
      <c r="D127" s="860"/>
      <c r="E127" s="858"/>
      <c r="F127" s="916"/>
    </row>
    <row r="128" spans="1:198" s="932" customFormat="1">
      <c r="A128" s="915"/>
      <c r="B128" s="865" t="s">
        <v>302</v>
      </c>
      <c r="C128" s="858"/>
      <c r="D128" s="860"/>
      <c r="E128" s="858"/>
      <c r="F128" s="916"/>
    </row>
    <row r="129" spans="1:7" s="932" customFormat="1">
      <c r="A129" s="915" t="s">
        <v>1278</v>
      </c>
      <c r="B129" s="863" t="s">
        <v>1122</v>
      </c>
      <c r="C129" s="858" t="s">
        <v>8</v>
      </c>
      <c r="D129" s="860">
        <f>D13</f>
        <v>23</v>
      </c>
      <c r="E129" s="858"/>
      <c r="F129" s="916"/>
    </row>
    <row r="130" spans="1:7" s="932" customFormat="1">
      <c r="A130" s="915" t="s">
        <v>1279</v>
      </c>
      <c r="B130" s="863" t="s">
        <v>1123</v>
      </c>
      <c r="C130" s="858" t="s">
        <v>9</v>
      </c>
      <c r="D130" s="860">
        <v>21</v>
      </c>
      <c r="E130" s="858"/>
      <c r="F130" s="916"/>
    </row>
    <row r="131" spans="1:7" s="932" customFormat="1">
      <c r="A131" s="915"/>
      <c r="B131" s="852" t="s">
        <v>1124</v>
      </c>
      <c r="C131" s="858"/>
      <c r="D131" s="860"/>
      <c r="E131" s="858"/>
      <c r="F131" s="916"/>
    </row>
    <row r="132" spans="1:7" s="932" customFormat="1">
      <c r="A132" s="915"/>
      <c r="B132" s="852" t="s">
        <v>1125</v>
      </c>
      <c r="C132" s="858"/>
      <c r="D132" s="860"/>
      <c r="E132" s="858"/>
      <c r="F132" s="916"/>
    </row>
    <row r="133" spans="1:7" s="872" customFormat="1">
      <c r="A133" s="915" t="s">
        <v>1280</v>
      </c>
      <c r="B133" s="863" t="s">
        <v>1126</v>
      </c>
      <c r="C133" s="858" t="s">
        <v>8</v>
      </c>
      <c r="D133" s="860">
        <f>D129</f>
        <v>23</v>
      </c>
      <c r="E133" s="860"/>
      <c r="F133" s="929"/>
    </row>
    <row r="134" spans="1:7" s="872" customFormat="1">
      <c r="A134" s="915" t="s">
        <v>1281</v>
      </c>
      <c r="B134" s="863" t="s">
        <v>1127</v>
      </c>
      <c r="C134" s="858" t="s">
        <v>9</v>
      </c>
      <c r="D134" s="860">
        <f>CEILING(D133/0.6,1)</f>
        <v>39</v>
      </c>
      <c r="E134" s="860"/>
      <c r="F134" s="929"/>
    </row>
    <row r="135" spans="1:7" s="872" customFormat="1">
      <c r="A135" s="915" t="s">
        <v>1282</v>
      </c>
      <c r="B135" s="863" t="s">
        <v>1128</v>
      </c>
      <c r="C135" s="858" t="s">
        <v>8</v>
      </c>
      <c r="D135" s="860">
        <f>D133</f>
        <v>23</v>
      </c>
      <c r="E135" s="860"/>
      <c r="F135" s="929"/>
    </row>
    <row r="136" spans="1:7" s="932" customFormat="1">
      <c r="A136" s="915"/>
      <c r="B136" s="852" t="s">
        <v>303</v>
      </c>
      <c r="C136" s="858"/>
      <c r="D136" s="860"/>
      <c r="E136" s="858"/>
      <c r="F136" s="916"/>
    </row>
    <row r="137" spans="1:7" s="932" customFormat="1">
      <c r="A137" s="915"/>
      <c r="B137" s="852" t="s">
        <v>1129</v>
      </c>
      <c r="C137" s="858"/>
      <c r="D137" s="860"/>
      <c r="E137" s="858"/>
      <c r="F137" s="916"/>
    </row>
    <row r="138" spans="1:7" s="932" customFormat="1">
      <c r="A138" s="915"/>
      <c r="B138" s="852" t="s">
        <v>1130</v>
      </c>
      <c r="C138" s="858"/>
      <c r="D138" s="860"/>
      <c r="E138" s="858"/>
      <c r="F138" s="916"/>
    </row>
    <row r="139" spans="1:7" s="932" customFormat="1">
      <c r="A139" s="915" t="s">
        <v>1283</v>
      </c>
      <c r="B139" s="863" t="s">
        <v>1131</v>
      </c>
      <c r="C139" s="858" t="s">
        <v>8</v>
      </c>
      <c r="D139" s="860">
        <f>D123</f>
        <v>38</v>
      </c>
      <c r="E139" s="858"/>
      <c r="F139" s="916"/>
    </row>
    <row r="140" spans="1:7" s="932" customFormat="1">
      <c r="A140" s="915"/>
      <c r="B140" s="852" t="s">
        <v>1132</v>
      </c>
      <c r="C140" s="858"/>
      <c r="D140" s="860"/>
      <c r="E140" s="858"/>
      <c r="F140" s="916"/>
    </row>
    <row r="141" spans="1:7" s="932" customFormat="1">
      <c r="A141" s="915"/>
      <c r="B141" s="852" t="s">
        <v>1133</v>
      </c>
      <c r="C141" s="858"/>
      <c r="D141" s="860"/>
      <c r="E141" s="858"/>
      <c r="F141" s="916"/>
    </row>
    <row r="142" spans="1:7" s="932" customFormat="1">
      <c r="A142" s="915" t="s">
        <v>1284</v>
      </c>
      <c r="B142" s="863" t="s">
        <v>1134</v>
      </c>
      <c r="C142" s="858" t="s">
        <v>8</v>
      </c>
      <c r="D142" s="860">
        <f>D125</f>
        <v>43</v>
      </c>
      <c r="E142" s="858"/>
      <c r="F142" s="916"/>
    </row>
    <row r="143" spans="1:7" s="932" customFormat="1">
      <c r="A143" s="915"/>
      <c r="B143" s="863"/>
      <c r="C143" s="858"/>
      <c r="D143" s="930"/>
      <c r="E143" s="858"/>
      <c r="F143" s="916"/>
    </row>
    <row r="144" spans="1:7" s="964" customFormat="1">
      <c r="A144" s="1002"/>
      <c r="B144" s="972" t="s">
        <v>1203</v>
      </c>
      <c r="C144" s="899"/>
      <c r="D144" s="899"/>
      <c r="E144" s="899"/>
      <c r="F144" s="974"/>
      <c r="G144" s="963"/>
    </row>
    <row r="145" spans="1:7" s="964" customFormat="1">
      <c r="A145" s="1002"/>
      <c r="B145" s="899"/>
      <c r="C145" s="899"/>
      <c r="D145" s="899"/>
      <c r="E145" s="899"/>
      <c r="F145" s="973"/>
      <c r="G145" s="963"/>
    </row>
    <row r="146" spans="1:7" s="964" customFormat="1">
      <c r="A146" s="1002"/>
      <c r="B146" s="899"/>
      <c r="C146" s="899"/>
      <c r="D146" s="899"/>
      <c r="E146" s="899"/>
      <c r="F146" s="973"/>
      <c r="G146" s="963"/>
    </row>
    <row r="147" spans="1:7" s="964" customFormat="1">
      <c r="A147" s="1002"/>
      <c r="B147" s="899"/>
      <c r="C147" s="899"/>
      <c r="D147" s="899"/>
      <c r="E147" s="899"/>
      <c r="F147" s="973"/>
      <c r="G147" s="963"/>
    </row>
    <row r="148" spans="1:7" s="964" customFormat="1">
      <c r="A148" s="1002"/>
      <c r="B148" s="899"/>
      <c r="C148" s="899"/>
      <c r="D148" s="899"/>
      <c r="E148" s="899"/>
      <c r="F148" s="973"/>
      <c r="G148" s="963"/>
    </row>
    <row r="149" spans="1:7" s="964" customFormat="1">
      <c r="A149" s="1002"/>
      <c r="B149" s="899"/>
      <c r="C149" s="899"/>
      <c r="D149" s="899"/>
      <c r="E149" s="899"/>
      <c r="F149" s="973"/>
      <c r="G149" s="963"/>
    </row>
    <row r="150" spans="1:7" s="964" customFormat="1">
      <c r="A150" s="1002"/>
      <c r="B150" s="899"/>
      <c r="C150" s="899"/>
      <c r="D150" s="899"/>
      <c r="E150" s="899"/>
      <c r="F150" s="973"/>
      <c r="G150" s="963"/>
    </row>
    <row r="151" spans="1:7" s="964" customFormat="1">
      <c r="A151" s="1002"/>
      <c r="B151" s="899"/>
      <c r="C151" s="899"/>
      <c r="D151" s="899"/>
      <c r="E151" s="899"/>
      <c r="F151" s="973"/>
      <c r="G151" s="963"/>
    </row>
    <row r="152" spans="1:7" s="964" customFormat="1">
      <c r="A152" s="1002"/>
      <c r="B152" s="899"/>
      <c r="C152" s="899"/>
      <c r="D152" s="899"/>
      <c r="E152" s="899"/>
      <c r="F152" s="973"/>
      <c r="G152" s="963"/>
    </row>
    <row r="153" spans="1:7" s="964" customFormat="1">
      <c r="A153" s="1002"/>
      <c r="B153" s="899"/>
      <c r="C153" s="899"/>
      <c r="D153" s="899"/>
      <c r="E153" s="899"/>
      <c r="F153" s="973"/>
      <c r="G153" s="963"/>
    </row>
    <row r="154" spans="1:7" s="964" customFormat="1">
      <c r="A154" s="1002"/>
      <c r="B154" s="899"/>
      <c r="C154" s="899"/>
      <c r="D154" s="899"/>
      <c r="E154" s="899"/>
      <c r="F154" s="973"/>
      <c r="G154" s="963"/>
    </row>
    <row r="155" spans="1:7" s="964" customFormat="1">
      <c r="A155" s="1002"/>
      <c r="B155" s="899"/>
      <c r="C155" s="899"/>
      <c r="D155" s="899"/>
      <c r="E155" s="899"/>
      <c r="F155" s="973"/>
      <c r="G155" s="963"/>
    </row>
    <row r="156" spans="1:7" s="964" customFormat="1">
      <c r="A156" s="1002"/>
      <c r="B156" s="899"/>
      <c r="C156" s="899"/>
      <c r="D156" s="899"/>
      <c r="E156" s="899"/>
      <c r="F156" s="973"/>
      <c r="G156" s="963"/>
    </row>
    <row r="157" spans="1:7" s="964" customFormat="1">
      <c r="A157" s="1002"/>
      <c r="B157" s="899"/>
      <c r="C157" s="899"/>
      <c r="D157" s="899"/>
      <c r="E157" s="899"/>
      <c r="F157" s="975"/>
      <c r="G157" s="963"/>
    </row>
    <row r="158" spans="1:7" s="964" customFormat="1">
      <c r="A158" s="1002"/>
      <c r="B158" s="899"/>
      <c r="C158" s="899"/>
      <c r="D158" s="899"/>
      <c r="E158" s="899"/>
      <c r="F158" s="975"/>
      <c r="G158" s="963"/>
    </row>
    <row r="159" spans="1:7" s="872" customFormat="1">
      <c r="A159" s="917" t="s">
        <v>260</v>
      </c>
      <c r="B159" s="911" t="s">
        <v>13</v>
      </c>
      <c r="C159" s="912" t="s">
        <v>330</v>
      </c>
      <c r="D159" s="913" t="s">
        <v>331</v>
      </c>
      <c r="E159" s="914" t="s">
        <v>332</v>
      </c>
      <c r="F159" s="918"/>
      <c r="G159" s="871"/>
    </row>
    <row r="160" spans="1:7" s="938" customFormat="1">
      <c r="A160" s="1003"/>
      <c r="B160" s="879"/>
      <c r="C160" s="880"/>
      <c r="D160" s="875"/>
      <c r="E160" s="874"/>
      <c r="F160" s="881"/>
      <c r="G160" s="937"/>
    </row>
    <row r="161" spans="1:7" s="938" customFormat="1">
      <c r="A161" s="1002">
        <v>7.8</v>
      </c>
      <c r="B161" s="873" t="s">
        <v>1135</v>
      </c>
      <c r="C161" s="874"/>
      <c r="D161" s="875"/>
      <c r="E161" s="874"/>
      <c r="F161" s="876"/>
      <c r="G161" s="937"/>
    </row>
    <row r="162" spans="1:7" s="977" customFormat="1">
      <c r="A162" s="1004"/>
      <c r="B162" s="873" t="s">
        <v>310</v>
      </c>
      <c r="C162" s="877"/>
      <c r="D162" s="878"/>
      <c r="E162" s="877"/>
      <c r="F162" s="876"/>
      <c r="G162" s="976"/>
    </row>
    <row r="163" spans="1:7" s="970" customFormat="1" ht="43.2">
      <c r="A163" s="1003"/>
      <c r="B163" s="879" t="s">
        <v>467</v>
      </c>
      <c r="C163" s="880"/>
      <c r="D163" s="875"/>
      <c r="E163" s="874"/>
      <c r="F163" s="881"/>
      <c r="G163" s="969"/>
    </row>
    <row r="164" spans="1:7" s="970" customFormat="1">
      <c r="A164" s="1003" t="s">
        <v>1285</v>
      </c>
      <c r="B164" s="882" t="s">
        <v>704</v>
      </c>
      <c r="C164" s="880" t="s">
        <v>10</v>
      </c>
      <c r="D164" s="875">
        <v>2</v>
      </c>
      <c r="E164" s="874"/>
      <c r="F164" s="881"/>
      <c r="G164" s="969"/>
    </row>
    <row r="165" spans="1:7" s="970" customFormat="1">
      <c r="A165" s="1003"/>
      <c r="B165" s="883" t="s">
        <v>311</v>
      </c>
      <c r="C165" s="880"/>
      <c r="D165" s="875"/>
      <c r="E165" s="874"/>
      <c r="F165" s="881"/>
      <c r="G165" s="969"/>
    </row>
    <row r="166" spans="1:7" s="970" customFormat="1">
      <c r="A166" s="1003" t="s">
        <v>1286</v>
      </c>
      <c r="B166" s="882" t="s">
        <v>312</v>
      </c>
      <c r="C166" s="880" t="s">
        <v>304</v>
      </c>
      <c r="D166" s="875">
        <f>D164</f>
        <v>2</v>
      </c>
      <c r="E166" s="874"/>
      <c r="F166" s="881"/>
      <c r="G166" s="969"/>
    </row>
    <row r="167" spans="1:7" s="970" customFormat="1">
      <c r="A167" s="1003"/>
      <c r="B167" s="873" t="s">
        <v>313</v>
      </c>
      <c r="C167" s="874"/>
      <c r="D167" s="875"/>
      <c r="E167" s="874"/>
      <c r="F167" s="881"/>
      <c r="G167" s="969"/>
    </row>
    <row r="168" spans="1:7" s="970" customFormat="1" ht="86.4">
      <c r="A168" s="1003"/>
      <c r="B168" s="978" t="s">
        <v>631</v>
      </c>
      <c r="C168" s="880"/>
      <c r="D168" s="875"/>
      <c r="E168" s="874"/>
      <c r="F168" s="881"/>
      <c r="G168" s="969"/>
    </row>
    <row r="169" spans="1:7" s="970" customFormat="1">
      <c r="A169" s="1003"/>
      <c r="B169" s="884" t="s">
        <v>314</v>
      </c>
      <c r="C169" s="880"/>
      <c r="D169" s="875"/>
      <c r="E169" s="874"/>
      <c r="F169" s="881"/>
      <c r="G169" s="969"/>
    </row>
    <row r="170" spans="1:7" s="970" customFormat="1">
      <c r="A170" s="1003" t="s">
        <v>1287</v>
      </c>
      <c r="B170" s="884" t="s">
        <v>315</v>
      </c>
      <c r="C170" s="880" t="s">
        <v>304</v>
      </c>
      <c r="D170" s="875">
        <v>3</v>
      </c>
      <c r="E170" s="874"/>
      <c r="F170" s="881"/>
      <c r="G170" s="969"/>
    </row>
    <row r="171" spans="1:7" s="970" customFormat="1">
      <c r="A171" s="1003"/>
      <c r="B171" s="883" t="s">
        <v>316</v>
      </c>
      <c r="C171" s="874"/>
      <c r="D171" s="875"/>
      <c r="E171" s="874"/>
      <c r="F171" s="881"/>
      <c r="G171" s="969"/>
    </row>
    <row r="172" spans="1:7" s="970" customFormat="1" ht="57.6">
      <c r="A172" s="1003"/>
      <c r="B172" s="882" t="s">
        <v>705</v>
      </c>
      <c r="C172" s="880"/>
      <c r="D172" s="875"/>
      <c r="E172" s="874"/>
      <c r="F172" s="881"/>
      <c r="G172" s="969"/>
    </row>
    <row r="173" spans="1:7" s="970" customFormat="1">
      <c r="A173" s="1003" t="s">
        <v>1288</v>
      </c>
      <c r="B173" s="884" t="s">
        <v>317</v>
      </c>
      <c r="C173" s="880" t="s">
        <v>318</v>
      </c>
      <c r="D173" s="875">
        <f>CEILING(22.8*3,1)</f>
        <v>69</v>
      </c>
      <c r="E173" s="874"/>
      <c r="F173" s="881"/>
      <c r="G173" s="969"/>
    </row>
    <row r="174" spans="1:7" s="970" customFormat="1" ht="28.8">
      <c r="A174" s="939"/>
      <c r="B174" s="885" t="s">
        <v>706</v>
      </c>
      <c r="C174" s="886"/>
      <c r="D174" s="875"/>
      <c r="E174" s="874"/>
      <c r="F174" s="881"/>
      <c r="G174" s="969"/>
    </row>
    <row r="175" spans="1:7" s="970" customFormat="1">
      <c r="A175" s="939" t="s">
        <v>1289</v>
      </c>
      <c r="B175" s="887" t="s">
        <v>319</v>
      </c>
      <c r="C175" s="886" t="s">
        <v>320</v>
      </c>
      <c r="D175" s="875">
        <v>2</v>
      </c>
      <c r="E175" s="874"/>
      <c r="F175" s="881"/>
      <c r="G175" s="969"/>
    </row>
    <row r="176" spans="1:7" s="970" customFormat="1" ht="28.8">
      <c r="A176" s="939"/>
      <c r="B176" s="888" t="s">
        <v>707</v>
      </c>
      <c r="C176" s="880"/>
      <c r="D176" s="875"/>
      <c r="E176" s="874"/>
      <c r="F176" s="881"/>
      <c r="G176" s="969"/>
    </row>
    <row r="177" spans="1:7" s="970" customFormat="1" ht="57.6">
      <c r="A177" s="939" t="s">
        <v>1290</v>
      </c>
      <c r="B177" s="887" t="s">
        <v>632</v>
      </c>
      <c r="C177" s="886" t="s">
        <v>633</v>
      </c>
      <c r="D177" s="875">
        <v>1</v>
      </c>
      <c r="E177" s="874"/>
      <c r="F177" s="881"/>
      <c r="G177" s="969"/>
    </row>
    <row r="178" spans="1:7" s="970" customFormat="1">
      <c r="A178" s="939"/>
      <c r="B178" s="887"/>
      <c r="C178" s="886"/>
      <c r="D178" s="875"/>
      <c r="E178" s="874"/>
      <c r="F178" s="881"/>
      <c r="G178" s="969"/>
    </row>
    <row r="179" spans="1:7" s="940" customFormat="1">
      <c r="A179" s="933"/>
      <c r="B179" s="890" t="s">
        <v>694</v>
      </c>
      <c r="C179" s="889"/>
      <c r="D179" s="878"/>
      <c r="E179" s="877"/>
      <c r="F179" s="891"/>
      <c r="G179" s="976"/>
    </row>
    <row r="180" spans="1:7" s="940" customFormat="1">
      <c r="A180" s="933"/>
      <c r="B180" s="890"/>
      <c r="C180" s="889"/>
      <c r="D180" s="878"/>
      <c r="E180" s="877"/>
      <c r="F180" s="891"/>
      <c r="G180" s="976"/>
    </row>
    <row r="181" spans="1:7" s="940" customFormat="1">
      <c r="A181" s="917" t="s">
        <v>260</v>
      </c>
      <c r="B181" s="911" t="s">
        <v>13</v>
      </c>
      <c r="C181" s="912" t="s">
        <v>330</v>
      </c>
      <c r="D181" s="913" t="s">
        <v>331</v>
      </c>
      <c r="E181" s="914" t="s">
        <v>332</v>
      </c>
      <c r="F181" s="918"/>
      <c r="G181" s="976"/>
    </row>
    <row r="182" spans="1:7">
      <c r="A182" s="939"/>
      <c r="B182" s="885"/>
      <c r="C182" s="874"/>
      <c r="D182" s="880"/>
      <c r="E182" s="875"/>
      <c r="F182" s="892"/>
      <c r="G182" s="980"/>
    </row>
    <row r="183" spans="1:7">
      <c r="A183" s="933">
        <v>7.9</v>
      </c>
      <c r="B183" s="885" t="s">
        <v>1137</v>
      </c>
      <c r="C183" s="874"/>
      <c r="D183" s="880"/>
      <c r="E183" s="875"/>
      <c r="F183" s="892"/>
      <c r="G183" s="980"/>
    </row>
    <row r="184" spans="1:7">
      <c r="A184" s="939" t="s">
        <v>1291</v>
      </c>
      <c r="B184" s="887" t="s">
        <v>486</v>
      </c>
      <c r="C184" s="874" t="s">
        <v>329</v>
      </c>
      <c r="D184" s="880" t="s">
        <v>468</v>
      </c>
      <c r="E184" s="875"/>
      <c r="F184" s="881"/>
      <c r="G184" s="980"/>
    </row>
    <row r="185" spans="1:7" s="1052" customFormat="1">
      <c r="A185" s="1058"/>
      <c r="B185" s="1056"/>
      <c r="C185" s="1047"/>
      <c r="D185" s="1048"/>
      <c r="E185" s="1049"/>
      <c r="F185" s="1059"/>
      <c r="G185" s="1051"/>
    </row>
    <row r="186" spans="1:7" s="982" customFormat="1">
      <c r="A186" s="933"/>
      <c r="B186" s="890" t="s">
        <v>695</v>
      </c>
      <c r="C186" s="877"/>
      <c r="D186" s="893"/>
      <c r="E186" s="878"/>
      <c r="F186" s="892"/>
      <c r="G186" s="981"/>
    </row>
    <row r="187" spans="1:7" s="1044" customFormat="1">
      <c r="A187" s="1042"/>
      <c r="B187" s="1037"/>
      <c r="C187" s="1038"/>
      <c r="D187" s="1039"/>
      <c r="E187" s="1040"/>
      <c r="F187" s="1041"/>
      <c r="G187" s="1043"/>
    </row>
    <row r="188" spans="1:7" s="1044" customFormat="1">
      <c r="A188" s="1057" t="s">
        <v>1293</v>
      </c>
      <c r="B188" s="885" t="s">
        <v>1751</v>
      </c>
      <c r="C188" s="887"/>
      <c r="D188" s="887"/>
      <c r="E188" s="887"/>
      <c r="F188" s="887"/>
      <c r="G188" s="1043"/>
    </row>
    <row r="189" spans="1:7" s="1044" customFormat="1" ht="43.2">
      <c r="A189" s="887" t="s">
        <v>1292</v>
      </c>
      <c r="B189" s="887" t="s">
        <v>1080</v>
      </c>
      <c r="C189" s="887" t="s">
        <v>925</v>
      </c>
      <c r="D189" s="887">
        <f>5</f>
        <v>5</v>
      </c>
      <c r="E189" s="887"/>
      <c r="F189" s="887"/>
      <c r="G189" s="1043"/>
    </row>
    <row r="190" spans="1:7" s="1044" customFormat="1">
      <c r="A190" s="1056"/>
      <c r="B190" s="1056"/>
      <c r="C190" s="1056"/>
      <c r="D190" s="1056"/>
      <c r="E190" s="1056"/>
      <c r="F190" s="1056"/>
      <c r="G190" s="1043"/>
    </row>
    <row r="191" spans="1:7" s="1044" customFormat="1">
      <c r="A191" s="1056"/>
      <c r="B191" s="224" t="s">
        <v>696</v>
      </c>
      <c r="C191" s="219"/>
      <c r="D191" s="220"/>
      <c r="E191" s="221"/>
      <c r="F191" s="216"/>
      <c r="G191" s="1043"/>
    </row>
    <row r="192" spans="1:7" s="1044" customFormat="1">
      <c r="A192" s="1056"/>
      <c r="B192" s="1056"/>
      <c r="C192" s="1056"/>
      <c r="D192" s="1056"/>
      <c r="E192" s="1056"/>
      <c r="F192" s="1056"/>
      <c r="G192" s="1043"/>
    </row>
    <row r="193" spans="1:7" s="1044" customFormat="1">
      <c r="A193" s="1056"/>
      <c r="B193" s="1056"/>
      <c r="C193" s="1056"/>
      <c r="D193" s="1056"/>
      <c r="E193" s="1056"/>
      <c r="F193" s="1056"/>
      <c r="G193" s="1043"/>
    </row>
    <row r="194" spans="1:7" ht="16.5" customHeight="1">
      <c r="A194" s="422">
        <v>7.11</v>
      </c>
      <c r="B194" s="212" t="s">
        <v>1296</v>
      </c>
      <c r="C194" s="213"/>
      <c r="D194" s="214"/>
      <c r="E194" s="215"/>
      <c r="F194" s="216"/>
      <c r="G194" s="980"/>
    </row>
    <row r="195" spans="1:7" ht="28.8">
      <c r="A195" s="421" t="s">
        <v>1297</v>
      </c>
      <c r="B195" s="223" t="s">
        <v>1295</v>
      </c>
      <c r="C195" s="213" t="s">
        <v>10</v>
      </c>
      <c r="D195" s="214">
        <v>2</v>
      </c>
      <c r="E195" s="215"/>
      <c r="F195" s="429"/>
      <c r="G195" s="980"/>
    </row>
    <row r="196" spans="1:7">
      <c r="A196" s="1045"/>
      <c r="B196" s="1046"/>
      <c r="C196" s="1047"/>
      <c r="D196" s="1048"/>
      <c r="E196" s="1049"/>
      <c r="F196" s="1050"/>
      <c r="G196" s="980"/>
    </row>
    <row r="197" spans="1:7">
      <c r="A197" s="422"/>
      <c r="B197" s="224" t="s">
        <v>696</v>
      </c>
      <c r="C197" s="219"/>
      <c r="D197" s="220"/>
      <c r="E197" s="221"/>
      <c r="F197" s="216"/>
      <c r="G197" s="980"/>
    </row>
    <row r="198" spans="1:7">
      <c r="A198" s="939"/>
      <c r="B198" s="894"/>
      <c r="C198" s="874"/>
      <c r="D198" s="880"/>
      <c r="E198" s="875"/>
      <c r="F198" s="892"/>
      <c r="G198" s="980"/>
    </row>
    <row r="199" spans="1:7">
      <c r="A199" s="1006">
        <v>7.12</v>
      </c>
      <c r="B199" s="885" t="s">
        <v>1302</v>
      </c>
      <c r="C199" s="896"/>
      <c r="D199" s="897"/>
      <c r="E199" s="897"/>
      <c r="F199" s="898"/>
      <c r="G199" s="980"/>
    </row>
    <row r="200" spans="1:7">
      <c r="A200" s="1007" t="s">
        <v>1298</v>
      </c>
      <c r="B200" s="887" t="s">
        <v>487</v>
      </c>
      <c r="C200" s="896" t="s">
        <v>350</v>
      </c>
      <c r="D200" s="897">
        <v>11</v>
      </c>
      <c r="E200" s="897"/>
      <c r="F200" s="898"/>
      <c r="G200" s="980"/>
    </row>
    <row r="201" spans="1:7">
      <c r="A201" s="1007" t="s">
        <v>1299</v>
      </c>
      <c r="B201" s="887" t="s">
        <v>708</v>
      </c>
      <c r="C201" s="896" t="s">
        <v>350</v>
      </c>
      <c r="D201" s="897">
        <v>7</v>
      </c>
      <c r="E201" s="897"/>
      <c r="F201" s="898"/>
      <c r="G201" s="980"/>
    </row>
    <row r="202" spans="1:7">
      <c r="A202" s="1007" t="s">
        <v>1300</v>
      </c>
      <c r="B202" s="887" t="s">
        <v>411</v>
      </c>
      <c r="C202" s="896" t="s">
        <v>352</v>
      </c>
      <c r="D202" s="897">
        <v>4</v>
      </c>
      <c r="E202" s="897"/>
      <c r="F202" s="898"/>
      <c r="G202" s="980"/>
    </row>
    <row r="203" spans="1:7">
      <c r="A203" s="1007" t="s">
        <v>1301</v>
      </c>
      <c r="B203" s="887" t="s">
        <v>412</v>
      </c>
      <c r="C203" s="896" t="s">
        <v>350</v>
      </c>
      <c r="D203" s="897">
        <v>1</v>
      </c>
      <c r="E203" s="897"/>
      <c r="F203" s="898"/>
      <c r="G203" s="980"/>
    </row>
    <row r="204" spans="1:7">
      <c r="A204" s="1002"/>
      <c r="B204" s="900" t="s">
        <v>697</v>
      </c>
      <c r="C204" s="901"/>
      <c r="D204" s="902"/>
      <c r="E204" s="903"/>
      <c r="F204" s="904"/>
      <c r="G204" s="980"/>
    </row>
    <row r="205" spans="1:7">
      <c r="A205" s="1002"/>
      <c r="B205" s="900"/>
      <c r="C205" s="901"/>
      <c r="D205" s="902"/>
      <c r="E205" s="903"/>
      <c r="F205" s="904"/>
      <c r="G205" s="980"/>
    </row>
    <row r="206" spans="1:7">
      <c r="A206" s="939"/>
      <c r="B206" s="905" t="s">
        <v>669</v>
      </c>
      <c r="C206" s="906"/>
      <c r="D206" s="906"/>
      <c r="E206" s="906"/>
      <c r="F206" s="907"/>
      <c r="G206" s="980"/>
    </row>
    <row r="207" spans="1:7">
      <c r="A207" s="939">
        <f>A7</f>
        <v>7.1</v>
      </c>
      <c r="B207" s="906" t="str">
        <f>B7</f>
        <v>ELEMENT NO. 1 : SUB-STRUCTURES (all provisional)</v>
      </c>
      <c r="C207" s="906"/>
      <c r="D207" s="906"/>
      <c r="E207" s="906"/>
      <c r="F207" s="907"/>
      <c r="G207" s="980"/>
    </row>
    <row r="208" spans="1:7">
      <c r="A208" s="939">
        <f>A39</f>
        <v>7.2</v>
      </c>
      <c r="B208" s="906" t="str">
        <f>B39</f>
        <v>ELEMENT NO. 2: SUPER STRUCTURE CONCRETE</v>
      </c>
      <c r="C208" s="906"/>
      <c r="D208" s="906"/>
      <c r="E208" s="906"/>
      <c r="F208" s="907"/>
      <c r="G208" s="980"/>
    </row>
    <row r="209" spans="1:7">
      <c r="A209" s="939">
        <f>A53</f>
        <v>7.3</v>
      </c>
      <c r="B209" s="906" t="str">
        <f>B53</f>
        <v>ELEMENT NO. 3 SUPERSTRUCTURE WALLING</v>
      </c>
      <c r="C209" s="906"/>
      <c r="D209" s="906"/>
      <c r="E209" s="906"/>
      <c r="F209" s="907"/>
      <c r="G209" s="980"/>
    </row>
    <row r="210" spans="1:7">
      <c r="A210" s="939">
        <f>A65</f>
        <v>7.4</v>
      </c>
      <c r="B210" s="906" t="str">
        <f>B65</f>
        <v>ELEMENT NO. 4 - ROOFING</v>
      </c>
      <c r="C210" s="906"/>
      <c r="D210" s="906"/>
      <c r="E210" s="906"/>
      <c r="F210" s="907"/>
      <c r="G210" s="980"/>
    </row>
    <row r="211" spans="1:7">
      <c r="A211" s="1036">
        <f>A95</f>
        <v>7.5</v>
      </c>
      <c r="B211" s="908" t="str">
        <f>B95</f>
        <v>ELEMENT NO. 5: DOORS</v>
      </c>
      <c r="C211" s="906"/>
      <c r="D211" s="906"/>
      <c r="E211" s="906"/>
      <c r="F211" s="907"/>
      <c r="G211" s="980"/>
    </row>
    <row r="212" spans="1:7">
      <c r="A212" s="939">
        <f>A112</f>
        <v>7.6</v>
      </c>
      <c r="B212" s="906" t="str">
        <f>B112</f>
        <v>ELEMENT NO. 6: WINDOWS</v>
      </c>
      <c r="C212" s="906"/>
      <c r="D212" s="906"/>
      <c r="E212" s="906"/>
      <c r="F212" s="907"/>
      <c r="G212" s="980"/>
    </row>
    <row r="213" spans="1:7">
      <c r="A213" s="939">
        <f>A120</f>
        <v>7.7</v>
      </c>
      <c r="B213" s="906" t="str">
        <f>B120</f>
        <v>ELEMENT NO 7: FINISHES</v>
      </c>
      <c r="C213" s="906"/>
      <c r="D213" s="906"/>
      <c r="E213" s="906"/>
      <c r="F213" s="907"/>
      <c r="G213" s="980"/>
    </row>
    <row r="214" spans="1:7" s="982" customFormat="1">
      <c r="A214" s="939">
        <f>A161</f>
        <v>7.8</v>
      </c>
      <c r="B214" s="909" t="str">
        <f>B161</f>
        <v>ELEMENT NO. 8: ELECTRICAL INSTALLATIONS AND SERVICES</v>
      </c>
      <c r="C214" s="906"/>
      <c r="D214" s="906"/>
      <c r="E214" s="906"/>
      <c r="F214" s="907"/>
      <c r="G214" s="981"/>
    </row>
    <row r="215" spans="1:7">
      <c r="A215" s="939">
        <f>A183</f>
        <v>7.9</v>
      </c>
      <c r="B215" s="906" t="str">
        <f>B183</f>
        <v>ELEMENT NO. 9: STEPS AND RUMPS</v>
      </c>
      <c r="C215" s="906"/>
      <c r="D215" s="906"/>
      <c r="E215" s="906"/>
      <c r="F215" s="907"/>
    </row>
    <row r="216" spans="1:7" s="1052" customFormat="1">
      <c r="A216" s="1058" t="str">
        <f>A188</f>
        <v>7.10</v>
      </c>
      <c r="B216" s="1060" t="str">
        <f>B188</f>
        <v>ELEMENT NO. 10: WALL SHELVES</v>
      </c>
      <c r="C216" s="1060"/>
      <c r="D216" s="1060"/>
      <c r="E216" s="1060"/>
      <c r="F216" s="1061"/>
    </row>
    <row r="217" spans="1:7" s="1052" customFormat="1">
      <c r="A217" s="1058">
        <f>A194</f>
        <v>7.11</v>
      </c>
      <c r="B217" s="1060" t="str">
        <f>B194</f>
        <v>ELEMENT NO.11: MECHANICAL WORKS</v>
      </c>
      <c r="C217" s="1060"/>
      <c r="D217" s="1060"/>
      <c r="E217" s="1060"/>
      <c r="F217" s="1061"/>
    </row>
    <row r="218" spans="1:7">
      <c r="A218" s="1035">
        <f>A199</f>
        <v>7.12</v>
      </c>
      <c r="B218" s="906" t="str">
        <f>B199</f>
        <v>ELEMENT NO.12: SOAK PIT 1 No.</v>
      </c>
      <c r="C218" s="906"/>
      <c r="D218" s="906"/>
      <c r="E218" s="906"/>
      <c r="F218" s="907"/>
    </row>
    <row r="219" spans="1:7">
      <c r="A219" s="939"/>
      <c r="B219" s="906"/>
      <c r="C219" s="906"/>
      <c r="D219" s="906"/>
      <c r="E219" s="906"/>
      <c r="F219" s="907"/>
    </row>
    <row r="220" spans="1:7">
      <c r="A220" s="933"/>
      <c r="B220" s="905" t="s">
        <v>1254</v>
      </c>
      <c r="C220" s="905"/>
      <c r="D220" s="905"/>
      <c r="E220" s="905"/>
      <c r="F220" s="910"/>
    </row>
  </sheetData>
  <pageMargins left="0.7" right="0.7" top="0.75" bottom="0.75" header="0.3" footer="0.3"/>
  <pageSetup scale="70" orientation="portrait" horizontalDpi="300" verticalDpi="300" r:id="rId1"/>
  <rowBreaks count="5" manualBreakCount="5">
    <brk id="36" max="5" man="1"/>
    <brk id="91" max="5" man="1"/>
    <brk id="117" max="5" man="1"/>
    <brk id="158" max="5" man="1"/>
    <brk id="180"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233"/>
  <sheetViews>
    <sheetView view="pageBreakPreview" zoomScale="112" zoomScaleNormal="100" zoomScaleSheetLayoutView="112" workbookViewId="0">
      <pane xSplit="1" ySplit="1" topLeftCell="B218" activePane="bottomRight" state="frozen"/>
      <selection pane="topRight" activeCell="B1" sqref="B1"/>
      <selection pane="bottomLeft" activeCell="A2" sqref="A2"/>
      <selection pane="bottomRight" activeCell="E193" sqref="E193:E230"/>
    </sheetView>
  </sheetViews>
  <sheetFormatPr defaultColWidth="8.88671875" defaultRowHeight="14.4"/>
  <cols>
    <col min="1" max="1" width="6.6640625" style="1009" bestFit="1" customWidth="1"/>
    <col min="2" max="2" width="66.109375" style="931" customWidth="1"/>
    <col min="3" max="3" width="8.88671875" style="931"/>
    <col min="4" max="4" width="8.44140625" style="931" bestFit="1" customWidth="1"/>
    <col min="5" max="5" width="8.5546875" style="931" customWidth="1"/>
    <col min="6" max="6" width="14.6640625" style="931" bestFit="1" customWidth="1"/>
    <col min="7" max="16384" width="8.88671875" style="931"/>
  </cols>
  <sheetData>
    <row r="1" spans="1:6" s="989" customFormat="1">
      <c r="A1" s="983" t="s">
        <v>260</v>
      </c>
      <c r="B1" s="984" t="s">
        <v>13</v>
      </c>
      <c r="C1" s="985" t="s">
        <v>330</v>
      </c>
      <c r="D1" s="986" t="s">
        <v>331</v>
      </c>
      <c r="E1" s="987" t="s">
        <v>332</v>
      </c>
      <c r="F1" s="988"/>
    </row>
    <row r="2" spans="1:6">
      <c r="A2" s="990"/>
      <c r="B2" s="852" t="str">
        <f>'1 Preliminaries '!B2</f>
        <v>PROPOSED MALE TRANSITION CENTER - BAIDOA</v>
      </c>
      <c r="C2" s="853"/>
      <c r="D2" s="854"/>
      <c r="E2" s="855"/>
      <c r="F2" s="856"/>
    </row>
    <row r="3" spans="1:6">
      <c r="A3" s="990"/>
      <c r="B3" s="857" t="s">
        <v>1674</v>
      </c>
      <c r="C3" s="853"/>
      <c r="D3" s="854"/>
      <c r="E3" s="855"/>
      <c r="F3" s="856"/>
    </row>
    <row r="4" spans="1:6">
      <c r="A4" s="990"/>
      <c r="B4" s="857"/>
      <c r="C4" s="853"/>
      <c r="D4" s="854"/>
      <c r="E4" s="855"/>
      <c r="F4" s="856"/>
    </row>
    <row r="5" spans="1:6">
      <c r="A5" s="991">
        <v>8</v>
      </c>
      <c r="B5" s="852" t="s">
        <v>1371</v>
      </c>
      <c r="C5" s="858"/>
      <c r="D5" s="859"/>
      <c r="E5" s="860"/>
      <c r="F5" s="861"/>
    </row>
    <row r="6" spans="1:6">
      <c r="A6" s="991"/>
      <c r="B6" s="862"/>
      <c r="C6" s="858"/>
      <c r="D6" s="859"/>
      <c r="E6" s="860"/>
      <c r="F6" s="861"/>
    </row>
    <row r="7" spans="1:6">
      <c r="A7" s="993">
        <v>8.1</v>
      </c>
      <c r="B7" s="852" t="s">
        <v>476</v>
      </c>
      <c r="C7" s="858"/>
      <c r="D7" s="859"/>
      <c r="E7" s="860"/>
      <c r="F7" s="861"/>
    </row>
    <row r="8" spans="1:6" ht="16.2">
      <c r="A8" s="991" t="s">
        <v>1303</v>
      </c>
      <c r="B8" s="863" t="s">
        <v>698</v>
      </c>
      <c r="C8" s="859" t="s">
        <v>465</v>
      </c>
      <c r="D8" s="859">
        <v>139</v>
      </c>
      <c r="E8" s="860"/>
      <c r="F8" s="861"/>
    </row>
    <row r="9" spans="1:6" ht="42" customHeight="1">
      <c r="A9" s="991" t="s">
        <v>1304</v>
      </c>
      <c r="B9" s="863" t="s">
        <v>477</v>
      </c>
      <c r="C9" s="859" t="s">
        <v>465</v>
      </c>
      <c r="D9" s="859">
        <f>D8</f>
        <v>139</v>
      </c>
      <c r="E9" s="860"/>
      <c r="F9" s="861"/>
    </row>
    <row r="10" spans="1:6" ht="16.2">
      <c r="A10" s="991" t="s">
        <v>1305</v>
      </c>
      <c r="B10" s="863" t="s">
        <v>1090</v>
      </c>
      <c r="C10" s="859" t="s">
        <v>689</v>
      </c>
      <c r="D10" s="859">
        <f>CEILING((63.5)*0.4*0.4,1)</f>
        <v>11</v>
      </c>
      <c r="E10" s="860"/>
      <c r="F10" s="861"/>
    </row>
    <row r="11" spans="1:6" ht="16.2">
      <c r="A11" s="991" t="s">
        <v>1306</v>
      </c>
      <c r="B11" s="863" t="s">
        <v>1091</v>
      </c>
      <c r="C11" s="859" t="s">
        <v>465</v>
      </c>
      <c r="D11" s="859">
        <f>CEILING((63.5)*0.6,1)</f>
        <v>39</v>
      </c>
      <c r="E11" s="860"/>
      <c r="F11" s="861"/>
    </row>
    <row r="12" spans="1:6">
      <c r="A12" s="991"/>
      <c r="B12" s="852" t="s">
        <v>699</v>
      </c>
      <c r="C12" s="859"/>
      <c r="D12" s="859"/>
      <c r="E12" s="860"/>
      <c r="F12" s="864"/>
    </row>
    <row r="13" spans="1:6" ht="28.8">
      <c r="A13" s="991" t="s">
        <v>1307</v>
      </c>
      <c r="B13" s="863" t="s">
        <v>700</v>
      </c>
      <c r="C13" s="859" t="s">
        <v>465</v>
      </c>
      <c r="D13" s="859">
        <f>D9</f>
        <v>139</v>
      </c>
      <c r="E13" s="860"/>
      <c r="F13" s="861"/>
    </row>
    <row r="14" spans="1:6" ht="28.8">
      <c r="A14" s="991" t="s">
        <v>1308</v>
      </c>
      <c r="B14" s="863" t="s">
        <v>701</v>
      </c>
      <c r="C14" s="859" t="s">
        <v>465</v>
      </c>
      <c r="D14" s="859">
        <f>D13</f>
        <v>139</v>
      </c>
      <c r="E14" s="860"/>
      <c r="F14" s="861"/>
    </row>
    <row r="15" spans="1:6">
      <c r="A15" s="991" t="s">
        <v>1309</v>
      </c>
      <c r="B15" s="852" t="s">
        <v>307</v>
      </c>
      <c r="C15" s="858"/>
      <c r="D15" s="859"/>
      <c r="E15" s="860"/>
      <c r="F15" s="861"/>
    </row>
    <row r="16" spans="1:6" ht="43.2">
      <c r="A16" s="991" t="s">
        <v>1310</v>
      </c>
      <c r="B16" s="863" t="s">
        <v>690</v>
      </c>
      <c r="C16" s="859" t="s">
        <v>465</v>
      </c>
      <c r="D16" s="859">
        <f>D14</f>
        <v>139</v>
      </c>
      <c r="E16" s="860"/>
      <c r="F16" s="861"/>
    </row>
    <row r="17" spans="1:8">
      <c r="A17" s="991"/>
      <c r="B17" s="852" t="s">
        <v>295</v>
      </c>
      <c r="C17" s="858"/>
      <c r="D17" s="859"/>
      <c r="E17" s="860"/>
      <c r="F17" s="861"/>
    </row>
    <row r="18" spans="1:8" ht="43.2">
      <c r="A18" s="991" t="s">
        <v>1311</v>
      </c>
      <c r="B18" s="863" t="s">
        <v>702</v>
      </c>
      <c r="C18" s="859" t="s">
        <v>465</v>
      </c>
      <c r="D18" s="859">
        <f>D16</f>
        <v>139</v>
      </c>
      <c r="E18" s="860"/>
      <c r="F18" s="861"/>
    </row>
    <row r="19" spans="1:8">
      <c r="A19" s="991"/>
      <c r="B19" s="852" t="s">
        <v>471</v>
      </c>
      <c r="C19" s="858"/>
      <c r="D19" s="859"/>
      <c r="E19" s="860"/>
      <c r="F19" s="861"/>
    </row>
    <row r="20" spans="1:8" ht="28.8">
      <c r="A20" s="991" t="s">
        <v>1312</v>
      </c>
      <c r="B20" s="863" t="s">
        <v>1092</v>
      </c>
      <c r="C20" s="859" t="s">
        <v>472</v>
      </c>
      <c r="D20" s="859">
        <f>CEILING(63.5,1)</f>
        <v>64</v>
      </c>
      <c r="E20" s="860"/>
      <c r="F20" s="861"/>
    </row>
    <row r="21" spans="1:8">
      <c r="A21" s="991"/>
      <c r="B21" s="852" t="s">
        <v>479</v>
      </c>
      <c r="C21" s="859"/>
      <c r="D21" s="859"/>
      <c r="E21" s="860"/>
      <c r="F21" s="861"/>
    </row>
    <row r="22" spans="1:8" s="932" customFormat="1" ht="28.8">
      <c r="A22" s="915"/>
      <c r="B22" s="865" t="s">
        <v>1093</v>
      </c>
      <c r="C22" s="858"/>
      <c r="D22" s="860"/>
      <c r="E22" s="858"/>
      <c r="F22" s="916"/>
    </row>
    <row r="23" spans="1:8" s="932" customFormat="1">
      <c r="A23" s="915" t="s">
        <v>1313</v>
      </c>
      <c r="B23" s="863" t="s">
        <v>1094</v>
      </c>
      <c r="C23" s="858" t="s">
        <v>287</v>
      </c>
      <c r="D23" s="860">
        <f>CEILING((63.5*3*1.15+(63.5/0.2+1)*0.5)*0.395,1)</f>
        <v>150</v>
      </c>
      <c r="E23" s="858"/>
      <c r="F23" s="916"/>
    </row>
    <row r="24" spans="1:8" s="932" customFormat="1">
      <c r="A24" s="915" t="s">
        <v>1314</v>
      </c>
      <c r="B24" s="863" t="s">
        <v>1199</v>
      </c>
      <c r="C24" s="858" t="s">
        <v>287</v>
      </c>
      <c r="D24" s="860">
        <f>CEILING((63.5/0.2+1)*0.7*0.617,1)</f>
        <v>138</v>
      </c>
      <c r="E24" s="858"/>
      <c r="F24" s="916"/>
    </row>
    <row r="25" spans="1:8" s="932" customFormat="1">
      <c r="A25" s="915" t="s">
        <v>1315</v>
      </c>
      <c r="B25" s="863" t="s">
        <v>1095</v>
      </c>
      <c r="C25" s="858" t="s">
        <v>287</v>
      </c>
      <c r="D25" s="860">
        <f>CEILING(63.5*4*1.15*0.888,1)</f>
        <v>260</v>
      </c>
      <c r="E25" s="858"/>
      <c r="F25" s="916"/>
    </row>
    <row r="26" spans="1:8" ht="16.2">
      <c r="A26" s="915" t="s">
        <v>1316</v>
      </c>
      <c r="B26" s="863" t="s">
        <v>480</v>
      </c>
      <c r="C26" s="859" t="s">
        <v>465</v>
      </c>
      <c r="D26" s="859">
        <f>D18</f>
        <v>139</v>
      </c>
      <c r="E26" s="860"/>
      <c r="F26" s="861"/>
    </row>
    <row r="27" spans="1:8">
      <c r="A27" s="991"/>
      <c r="B27" s="862" t="s">
        <v>481</v>
      </c>
      <c r="C27" s="858"/>
      <c r="D27" s="859"/>
      <c r="E27" s="860"/>
      <c r="F27" s="861"/>
    </row>
    <row r="28" spans="1:8">
      <c r="A28" s="991"/>
      <c r="B28" s="865" t="s">
        <v>341</v>
      </c>
      <c r="C28" s="858"/>
      <c r="D28" s="859"/>
      <c r="E28" s="860"/>
      <c r="F28" s="861"/>
    </row>
    <row r="29" spans="1:8" ht="16.2">
      <c r="A29" s="991" t="s">
        <v>1317</v>
      </c>
      <c r="B29" s="863" t="s">
        <v>482</v>
      </c>
      <c r="C29" s="859" t="s">
        <v>689</v>
      </c>
      <c r="D29" s="859">
        <f>CEILING(D18*0.15,1)</f>
        <v>21</v>
      </c>
      <c r="E29" s="860"/>
      <c r="F29" s="861"/>
      <c r="H29" s="931">
        <f>24*2*120</f>
        <v>5760</v>
      </c>
    </row>
    <row r="30" spans="1:8">
      <c r="A30" s="991" t="s">
        <v>1318</v>
      </c>
      <c r="B30" s="863" t="s">
        <v>1096</v>
      </c>
      <c r="C30" s="859" t="s">
        <v>1097</v>
      </c>
      <c r="D30" s="859">
        <f>CEILING((63.5)*0.25*0.4,1)</f>
        <v>7</v>
      </c>
      <c r="E30" s="860"/>
      <c r="F30" s="861"/>
    </row>
    <row r="31" spans="1:8">
      <c r="A31" s="991" t="s">
        <v>1319</v>
      </c>
      <c r="B31" s="863" t="s">
        <v>1098</v>
      </c>
      <c r="C31" s="859" t="s">
        <v>1097</v>
      </c>
      <c r="D31" s="859">
        <f>CEILING((63.5)*0.2*0.3,1)</f>
        <v>4</v>
      </c>
      <c r="E31" s="860"/>
      <c r="F31" s="861"/>
    </row>
    <row r="32" spans="1:8">
      <c r="A32" s="991"/>
      <c r="B32" s="546" t="s">
        <v>897</v>
      </c>
      <c r="C32" s="547"/>
      <c r="D32" s="547"/>
      <c r="E32" s="547"/>
      <c r="F32" s="576"/>
    </row>
    <row r="33" spans="1:8" ht="100.8">
      <c r="A33" s="548"/>
      <c r="B33" s="928" t="s">
        <v>898</v>
      </c>
      <c r="C33" s="547"/>
      <c r="D33" s="547"/>
      <c r="E33" s="547"/>
      <c r="F33" s="576"/>
    </row>
    <row r="34" spans="1:8" s="872" customFormat="1" ht="16.2">
      <c r="A34" s="991" t="s">
        <v>1375</v>
      </c>
      <c r="B34" s="863" t="s">
        <v>899</v>
      </c>
      <c r="C34" s="547" t="s">
        <v>500</v>
      </c>
      <c r="D34" s="547">
        <f>CEILING(63.5*1,1)</f>
        <v>64</v>
      </c>
      <c r="E34" s="547"/>
      <c r="F34" s="576"/>
      <c r="G34" s="871"/>
    </row>
    <row r="35" spans="1:8">
      <c r="A35" s="992"/>
      <c r="B35" s="863"/>
      <c r="C35" s="859"/>
      <c r="D35" s="866"/>
      <c r="E35" s="860"/>
      <c r="F35" s="867"/>
    </row>
    <row r="36" spans="1:8">
      <c r="A36" s="993"/>
      <c r="B36" s="862" t="s">
        <v>668</v>
      </c>
      <c r="C36" s="868"/>
      <c r="D36" s="868"/>
      <c r="E36" s="869"/>
      <c r="F36" s="870"/>
    </row>
    <row r="37" spans="1:8" s="872" customFormat="1">
      <c r="A37" s="917" t="s">
        <v>260</v>
      </c>
      <c r="B37" s="911" t="s">
        <v>13</v>
      </c>
      <c r="C37" s="912" t="s">
        <v>330</v>
      </c>
      <c r="D37" s="913" t="s">
        <v>331</v>
      </c>
      <c r="E37" s="914" t="s">
        <v>332</v>
      </c>
      <c r="F37" s="918"/>
      <c r="G37" s="871"/>
    </row>
    <row r="38" spans="1:8" s="936" customFormat="1">
      <c r="A38" s="933"/>
      <c r="B38" s="890"/>
      <c r="C38" s="877"/>
      <c r="D38" s="893"/>
      <c r="E38" s="878"/>
      <c r="F38" s="934"/>
      <c r="G38" s="935"/>
    </row>
    <row r="39" spans="1:8" s="938" customFormat="1">
      <c r="A39" s="933">
        <v>8.1999999999999993</v>
      </c>
      <c r="B39" s="885" t="s">
        <v>1099</v>
      </c>
      <c r="C39" s="874"/>
      <c r="D39" s="880"/>
      <c r="E39" s="875"/>
      <c r="F39" s="934"/>
      <c r="G39" s="937"/>
    </row>
    <row r="40" spans="1:8" s="66" customFormat="1">
      <c r="A40" s="1169"/>
      <c r="B40" s="1170" t="s">
        <v>1100</v>
      </c>
      <c r="C40" s="1171"/>
      <c r="D40" s="1172"/>
      <c r="E40" s="1171"/>
      <c r="F40" s="1173"/>
    </row>
    <row r="41" spans="1:8" s="1178" customFormat="1">
      <c r="A41" s="1174" t="s">
        <v>1320</v>
      </c>
      <c r="B41" s="1062" t="s">
        <v>1101</v>
      </c>
      <c r="C41" s="1175" t="s">
        <v>282</v>
      </c>
      <c r="D41" s="1176">
        <f>CEILING((51)*0.4*0.4,1)+CEILING((17.4+7.7*3)*0.2*0.4,1)</f>
        <v>13</v>
      </c>
      <c r="E41" s="1175"/>
      <c r="F41" s="1177"/>
      <c r="H41" s="1178">
        <f>(174.3*0.4*0.45)+(92.15*0.4*0.45)</f>
        <v>47.961000000000013</v>
      </c>
    </row>
    <row r="42" spans="1:8" s="1178" customFormat="1">
      <c r="A42" s="1174"/>
      <c r="B42" s="1062" t="s">
        <v>1675</v>
      </c>
      <c r="C42" s="1175" t="s">
        <v>282</v>
      </c>
      <c r="D42" s="1179">
        <f>CEILING(139*0.15,1)</f>
        <v>21</v>
      </c>
      <c r="E42" s="1180"/>
      <c r="F42" s="1181"/>
    </row>
    <row r="43" spans="1:8" s="1178" customFormat="1">
      <c r="A43" s="1174"/>
      <c r="B43" s="1182" t="s">
        <v>1676</v>
      </c>
      <c r="C43" s="1175" t="s">
        <v>282</v>
      </c>
      <c r="D43" s="1179">
        <f>CEILING(13*0.4*0.4*3.3,1)</f>
        <v>7</v>
      </c>
      <c r="E43" s="1180"/>
      <c r="F43" s="1181"/>
    </row>
    <row r="44" spans="1:8" s="66" customFormat="1">
      <c r="A44" s="1169"/>
      <c r="B44" s="1170" t="s">
        <v>534</v>
      </c>
      <c r="C44" s="1171"/>
      <c r="D44" s="1172"/>
      <c r="E44" s="1171"/>
      <c r="F44" s="1173"/>
    </row>
    <row r="45" spans="1:8" s="66" customFormat="1">
      <c r="A45" s="1169"/>
      <c r="B45" s="1170" t="s">
        <v>535</v>
      </c>
      <c r="C45" s="1171"/>
      <c r="D45" s="1172"/>
      <c r="E45" s="1171"/>
      <c r="F45" s="1173"/>
    </row>
    <row r="46" spans="1:8" s="66" customFormat="1">
      <c r="A46" s="1169" t="s">
        <v>1321</v>
      </c>
      <c r="B46" s="1183" t="s">
        <v>1102</v>
      </c>
      <c r="C46" s="1171" t="s">
        <v>287</v>
      </c>
      <c r="D46" s="1048">
        <f>CEILING((51+17.4+7.7*3)/0.2*0.7*0.395,1)</f>
        <v>127</v>
      </c>
      <c r="E46" s="1171"/>
      <c r="F46" s="1173"/>
      <c r="G46" s="66">
        <f>D46*110</f>
        <v>13970</v>
      </c>
    </row>
    <row r="47" spans="1:8" s="66" customFormat="1">
      <c r="A47" s="1169" t="s">
        <v>1322</v>
      </c>
      <c r="B47" s="1183" t="s">
        <v>1103</v>
      </c>
      <c r="C47" s="1171" t="s">
        <v>287</v>
      </c>
      <c r="D47" s="1048">
        <f>CEILING((51+17.4+7.7*3)*4*1.15*0.888,1)</f>
        <v>374</v>
      </c>
      <c r="E47" s="1171"/>
      <c r="F47" s="1173"/>
    </row>
    <row r="48" spans="1:8" s="66" customFormat="1">
      <c r="A48" s="1169"/>
      <c r="B48" s="1184" t="s">
        <v>1104</v>
      </c>
      <c r="C48" s="1171"/>
      <c r="D48" s="1172"/>
      <c r="E48" s="1171"/>
      <c r="F48" s="1173"/>
    </row>
    <row r="49" spans="1:198" s="66" customFormat="1">
      <c r="A49" s="1169" t="s">
        <v>1323</v>
      </c>
      <c r="B49" s="1183" t="s">
        <v>1105</v>
      </c>
      <c r="C49" s="1171" t="s">
        <v>8</v>
      </c>
      <c r="D49" s="1048">
        <f>CEILING((51+17.4+7.7*3)*2*0.2,1)</f>
        <v>37</v>
      </c>
      <c r="E49" s="1171"/>
      <c r="F49" s="1173"/>
    </row>
    <row r="50" spans="1:198" s="66" customFormat="1">
      <c r="A50" s="1169"/>
      <c r="B50" s="1183" t="s">
        <v>1684</v>
      </c>
      <c r="C50" s="1171" t="s">
        <v>8</v>
      </c>
      <c r="D50" s="1048">
        <v>139</v>
      </c>
      <c r="E50" s="1171"/>
      <c r="F50" s="1173"/>
    </row>
    <row r="51" spans="1:198" s="1189" customFormat="1">
      <c r="A51" s="1185"/>
      <c r="B51" s="862" t="s">
        <v>1687</v>
      </c>
      <c r="C51" s="1186"/>
      <c r="D51" s="1187"/>
      <c r="E51" s="1186"/>
      <c r="F51" s="1188"/>
    </row>
    <row r="52" spans="1:198" s="1189" customFormat="1">
      <c r="A52" s="1200"/>
      <c r="B52" s="1200"/>
      <c r="C52" s="1201"/>
      <c r="D52" s="1202"/>
      <c r="E52" s="1201"/>
      <c r="F52" s="1203"/>
    </row>
    <row r="53" spans="1:198" s="66" customFormat="1">
      <c r="A53" s="1204">
        <v>8.3000000000000007</v>
      </c>
      <c r="B53" s="1184" t="s">
        <v>1107</v>
      </c>
      <c r="C53" s="1171"/>
      <c r="D53" s="1172"/>
      <c r="E53" s="1171"/>
      <c r="F53" s="1173"/>
    </row>
    <row r="54" spans="1:198" s="66" customFormat="1">
      <c r="A54" s="1169"/>
      <c r="B54" s="1170"/>
      <c r="C54" s="1171"/>
      <c r="D54" s="1172"/>
      <c r="E54" s="1171"/>
      <c r="F54" s="1173"/>
    </row>
    <row r="55" spans="1:198" s="66" customFormat="1" ht="43.2">
      <c r="A55" s="1169"/>
      <c r="B55" s="1196" t="s">
        <v>1680</v>
      </c>
      <c r="C55" s="1171"/>
      <c r="D55" s="1176"/>
      <c r="E55" s="1171"/>
      <c r="F55" s="1173"/>
    </row>
    <row r="56" spans="1:198" s="66" customFormat="1">
      <c r="A56" s="1169"/>
      <c r="B56" s="1197"/>
      <c r="C56" s="1171"/>
      <c r="D56" s="1172"/>
      <c r="E56" s="1171"/>
      <c r="F56" s="1173"/>
    </row>
    <row r="57" spans="1:198" s="66" customFormat="1" ht="14.25" customHeight="1">
      <c r="A57" s="1169" t="s">
        <v>1324</v>
      </c>
      <c r="B57" s="1198" t="s">
        <v>1681</v>
      </c>
      <c r="C57" s="1171" t="s">
        <v>8</v>
      </c>
      <c r="D57" s="1199">
        <f>CEILING((51)*3,1)</f>
        <v>153</v>
      </c>
      <c r="E57" s="1171"/>
      <c r="F57" s="1173"/>
    </row>
    <row r="58" spans="1:198" s="66" customFormat="1">
      <c r="A58" s="1169" t="s">
        <v>1695</v>
      </c>
      <c r="B58" s="1170" t="s">
        <v>1109</v>
      </c>
      <c r="C58" s="1171"/>
      <c r="D58" s="1172"/>
      <c r="E58" s="1171"/>
      <c r="F58" s="1173"/>
    </row>
    <row r="59" spans="1:198" s="66" customFormat="1">
      <c r="A59" s="1169" t="s">
        <v>1696</v>
      </c>
      <c r="B59" s="1183" t="s">
        <v>1683</v>
      </c>
      <c r="C59" s="1171" t="s">
        <v>9</v>
      </c>
      <c r="D59" s="1199">
        <f>CEILING((17.4+7.7*3),1)</f>
        <v>41</v>
      </c>
      <c r="E59" s="1171"/>
      <c r="F59" s="1173"/>
    </row>
    <row r="60" spans="1:198" s="1012" customFormat="1" ht="17.399999999999999" customHeight="1">
      <c r="A60" s="939"/>
      <c r="B60" s="887"/>
      <c r="C60" s="874"/>
      <c r="D60" s="880"/>
      <c r="E60" s="875"/>
      <c r="F60" s="892"/>
    </row>
    <row r="61" spans="1:198" s="1012" customFormat="1">
      <c r="A61" s="915"/>
      <c r="B61" s="863"/>
      <c r="C61" s="858"/>
      <c r="D61" s="860"/>
      <c r="E61" s="858"/>
      <c r="F61" s="864"/>
    </row>
    <row r="62" spans="1:198" s="1017" customFormat="1">
      <c r="A62" s="915"/>
      <c r="B62" s="862" t="s">
        <v>1111</v>
      </c>
      <c r="C62" s="924"/>
      <c r="D62" s="860"/>
      <c r="E62" s="858"/>
      <c r="F62" s="1014"/>
      <c r="G62" s="942"/>
      <c r="H62" s="1016"/>
      <c r="I62" s="1016"/>
      <c r="J62" s="1016"/>
      <c r="K62" s="1016"/>
      <c r="L62" s="1016"/>
      <c r="M62" s="1016"/>
      <c r="N62" s="1016"/>
      <c r="O62" s="1016"/>
      <c r="P62" s="1016"/>
      <c r="Q62" s="1016"/>
      <c r="R62" s="1016"/>
      <c r="S62" s="1016"/>
      <c r="T62" s="1016"/>
      <c r="U62" s="1016"/>
      <c r="V62" s="1016"/>
      <c r="W62" s="1016"/>
      <c r="X62" s="1016"/>
      <c r="Y62" s="1016"/>
      <c r="Z62" s="1016"/>
      <c r="AA62" s="1016"/>
      <c r="AB62" s="1016"/>
      <c r="AC62" s="1016"/>
      <c r="AD62" s="1016"/>
      <c r="AE62" s="1016"/>
      <c r="AF62" s="1016"/>
      <c r="AG62" s="1016"/>
      <c r="AH62" s="1016"/>
      <c r="AI62" s="1016"/>
      <c r="AJ62" s="1016"/>
      <c r="AK62" s="1016"/>
      <c r="AL62" s="1016"/>
      <c r="AM62" s="1016"/>
      <c r="AN62" s="1016"/>
      <c r="AO62" s="1016"/>
      <c r="AP62" s="1016"/>
      <c r="AQ62" s="1016"/>
      <c r="AR62" s="1016"/>
      <c r="AS62" s="1016"/>
      <c r="AT62" s="1016"/>
      <c r="AU62" s="1016"/>
      <c r="AV62" s="1016"/>
      <c r="AW62" s="1016"/>
      <c r="AX62" s="1016"/>
      <c r="AY62" s="1016"/>
      <c r="AZ62" s="1016"/>
      <c r="BA62" s="1016"/>
      <c r="BB62" s="1016"/>
      <c r="BC62" s="1016"/>
      <c r="BD62" s="1016"/>
      <c r="BE62" s="1016"/>
      <c r="BF62" s="1016"/>
      <c r="BG62" s="1016"/>
      <c r="BH62" s="1016"/>
      <c r="BI62" s="1016"/>
      <c r="BJ62" s="1016"/>
      <c r="BK62" s="1016"/>
      <c r="BL62" s="1016"/>
      <c r="BM62" s="1016"/>
      <c r="BN62" s="1016"/>
      <c r="BO62" s="1016"/>
      <c r="BP62" s="1016"/>
      <c r="BQ62" s="1016"/>
      <c r="BR62" s="1016"/>
      <c r="BS62" s="1016"/>
      <c r="BT62" s="1016"/>
      <c r="BU62" s="1016"/>
      <c r="BV62" s="1016"/>
      <c r="BW62" s="1016"/>
      <c r="BX62" s="1016"/>
      <c r="BY62" s="1016"/>
      <c r="BZ62" s="1016"/>
      <c r="CA62" s="1016"/>
      <c r="CB62" s="1016"/>
      <c r="CC62" s="1016"/>
      <c r="CD62" s="1016"/>
      <c r="CE62" s="1016"/>
      <c r="CF62" s="1016"/>
      <c r="CG62" s="1016"/>
      <c r="CH62" s="1016"/>
      <c r="CI62" s="1016"/>
      <c r="CJ62" s="1016"/>
      <c r="CK62" s="1016"/>
      <c r="CL62" s="1016"/>
      <c r="CM62" s="1016"/>
      <c r="CN62" s="1016"/>
      <c r="CO62" s="1016"/>
      <c r="CP62" s="1016"/>
      <c r="CQ62" s="1016"/>
      <c r="CR62" s="1016"/>
      <c r="CS62" s="1016"/>
      <c r="CT62" s="1016"/>
      <c r="CU62" s="1016"/>
      <c r="CV62" s="1016"/>
      <c r="CW62" s="1016"/>
      <c r="CX62" s="1016"/>
      <c r="CY62" s="1016"/>
      <c r="CZ62" s="1016"/>
      <c r="DA62" s="1016"/>
      <c r="DB62" s="1016"/>
      <c r="DC62" s="1016"/>
      <c r="DD62" s="1016"/>
      <c r="DE62" s="1016"/>
      <c r="DF62" s="1016"/>
      <c r="DG62" s="1016"/>
      <c r="DH62" s="1016"/>
      <c r="DI62" s="1016"/>
      <c r="DJ62" s="1016"/>
      <c r="DK62" s="1016"/>
      <c r="DL62" s="1016"/>
      <c r="DM62" s="1016"/>
      <c r="DN62" s="1016"/>
      <c r="DO62" s="1016"/>
      <c r="DP62" s="1016"/>
      <c r="DQ62" s="1016"/>
      <c r="DR62" s="1016"/>
      <c r="DS62" s="1016"/>
      <c r="DT62" s="1016"/>
      <c r="DU62" s="1016"/>
      <c r="DV62" s="1016"/>
      <c r="DW62" s="1016"/>
      <c r="DX62" s="1016"/>
      <c r="DY62" s="1016"/>
      <c r="DZ62" s="1016"/>
      <c r="EA62" s="1016"/>
      <c r="EB62" s="1016"/>
      <c r="EC62" s="1016"/>
      <c r="ED62" s="1016"/>
      <c r="EE62" s="1016"/>
      <c r="EF62" s="1016"/>
      <c r="EG62" s="1016"/>
      <c r="EH62" s="1016"/>
      <c r="EI62" s="1016"/>
      <c r="EJ62" s="1016"/>
      <c r="EK62" s="1016"/>
      <c r="EL62" s="1016"/>
      <c r="EM62" s="1016"/>
      <c r="EN62" s="1016"/>
      <c r="EO62" s="1016"/>
      <c r="EP62" s="1016"/>
      <c r="EQ62" s="1016"/>
      <c r="ER62" s="1016"/>
      <c r="ES62" s="1016"/>
      <c r="ET62" s="1016"/>
      <c r="EU62" s="1016"/>
      <c r="EV62" s="1016"/>
      <c r="EW62" s="1016"/>
      <c r="EX62" s="1016"/>
      <c r="EY62" s="1016"/>
      <c r="EZ62" s="1016"/>
      <c r="FA62" s="1016"/>
      <c r="FB62" s="1016"/>
      <c r="FC62" s="1016"/>
      <c r="FD62" s="1016"/>
      <c r="FE62" s="1016"/>
      <c r="FF62" s="1016"/>
      <c r="FG62" s="1016"/>
      <c r="FH62" s="1016"/>
      <c r="FI62" s="1016"/>
      <c r="FJ62" s="1016"/>
      <c r="FK62" s="1016"/>
      <c r="FL62" s="1016"/>
      <c r="FM62" s="1016"/>
      <c r="FN62" s="1016"/>
      <c r="FO62" s="1016"/>
      <c r="FP62" s="1016"/>
      <c r="FQ62" s="1016"/>
      <c r="FR62" s="1016"/>
      <c r="FS62" s="1016"/>
      <c r="FT62" s="1016"/>
      <c r="FU62" s="1016"/>
      <c r="FV62" s="1016"/>
      <c r="FW62" s="1016"/>
      <c r="FX62" s="1016"/>
      <c r="FY62" s="1016"/>
      <c r="FZ62" s="1016"/>
      <c r="GA62" s="1016"/>
      <c r="GB62" s="1016"/>
      <c r="GC62" s="1016"/>
      <c r="GD62" s="1016"/>
      <c r="GE62" s="1016"/>
      <c r="GF62" s="1016"/>
      <c r="GG62" s="1016"/>
      <c r="GH62" s="1016"/>
      <c r="GI62" s="1016"/>
      <c r="GJ62" s="1016"/>
      <c r="GK62" s="1016"/>
      <c r="GL62" s="1016"/>
      <c r="GM62" s="1016"/>
      <c r="GN62" s="1016"/>
      <c r="GO62" s="1016"/>
      <c r="GP62" s="1016"/>
    </row>
    <row r="63" spans="1:198" s="938" customFormat="1">
      <c r="A63" s="939"/>
      <c r="B63" s="887"/>
      <c r="C63" s="874"/>
      <c r="D63" s="880"/>
      <c r="E63" s="875"/>
      <c r="F63" s="934"/>
      <c r="G63" s="937"/>
    </row>
    <row r="64" spans="1:198" s="954" customFormat="1">
      <c r="A64" s="994">
        <v>8.4</v>
      </c>
      <c r="B64" s="942" t="s">
        <v>1112</v>
      </c>
      <c r="C64" s="949"/>
      <c r="D64" s="949"/>
      <c r="E64" s="950"/>
      <c r="F64" s="951"/>
      <c r="G64" s="952"/>
      <c r="H64" s="953"/>
      <c r="I64" s="953"/>
      <c r="J64" s="953"/>
      <c r="K64" s="953"/>
      <c r="L64" s="953"/>
      <c r="M64" s="953"/>
      <c r="N64" s="953"/>
      <c r="O64" s="953"/>
      <c r="P64" s="953"/>
      <c r="Q64" s="953"/>
      <c r="R64" s="953"/>
      <c r="S64" s="953"/>
      <c r="T64" s="953"/>
      <c r="U64" s="953"/>
      <c r="V64" s="953"/>
      <c r="W64" s="953"/>
      <c r="X64" s="953"/>
      <c r="Y64" s="953"/>
      <c r="Z64" s="953"/>
      <c r="AA64" s="953"/>
      <c r="AB64" s="953"/>
      <c r="AC64" s="953"/>
      <c r="AD64" s="953"/>
      <c r="AE64" s="953"/>
      <c r="AF64" s="953"/>
      <c r="AG64" s="953"/>
      <c r="AH64" s="953"/>
      <c r="AI64" s="953"/>
      <c r="AJ64" s="953"/>
      <c r="AK64" s="953"/>
      <c r="AL64" s="953"/>
      <c r="AM64" s="953"/>
      <c r="AN64" s="953"/>
      <c r="AO64" s="953"/>
      <c r="AP64" s="953"/>
      <c r="AQ64" s="953"/>
      <c r="AR64" s="953"/>
      <c r="AS64" s="953"/>
      <c r="AT64" s="953"/>
      <c r="AU64" s="953"/>
      <c r="AV64" s="953"/>
      <c r="AW64" s="953"/>
      <c r="AX64" s="953"/>
      <c r="AY64" s="953"/>
      <c r="AZ64" s="953"/>
      <c r="BA64" s="953"/>
      <c r="BB64" s="953"/>
      <c r="BC64" s="953"/>
      <c r="BD64" s="953"/>
      <c r="BE64" s="953"/>
      <c r="BF64" s="953"/>
      <c r="BG64" s="953"/>
      <c r="BH64" s="953"/>
      <c r="BI64" s="953"/>
      <c r="BJ64" s="953"/>
      <c r="BK64" s="953"/>
      <c r="BL64" s="953"/>
      <c r="BM64" s="953"/>
      <c r="BN64" s="953"/>
      <c r="BO64" s="953"/>
      <c r="BP64" s="953"/>
      <c r="BQ64" s="953"/>
      <c r="BR64" s="953"/>
      <c r="BS64" s="953"/>
      <c r="BT64" s="953"/>
      <c r="BU64" s="953"/>
      <c r="BV64" s="953"/>
      <c r="BW64" s="953"/>
      <c r="BX64" s="953"/>
      <c r="BY64" s="953"/>
      <c r="BZ64" s="953"/>
      <c r="CA64" s="953"/>
      <c r="CB64" s="953"/>
      <c r="CC64" s="953"/>
      <c r="CD64" s="953"/>
      <c r="CE64" s="953"/>
      <c r="CF64" s="953"/>
      <c r="CG64" s="953"/>
      <c r="CH64" s="953"/>
      <c r="CI64" s="953"/>
      <c r="CJ64" s="953"/>
      <c r="CK64" s="953"/>
      <c r="CL64" s="953"/>
      <c r="CM64" s="953"/>
      <c r="CN64" s="953"/>
      <c r="CO64" s="953"/>
      <c r="CP64" s="953"/>
      <c r="CQ64" s="953"/>
      <c r="CR64" s="953"/>
      <c r="CS64" s="953"/>
      <c r="CT64" s="953"/>
      <c r="CU64" s="953"/>
      <c r="CV64" s="953"/>
      <c r="CW64" s="953"/>
      <c r="CX64" s="953"/>
      <c r="CY64" s="953"/>
      <c r="CZ64" s="953"/>
      <c r="DA64" s="953"/>
      <c r="DB64" s="953"/>
      <c r="DC64" s="953"/>
      <c r="DD64" s="953"/>
      <c r="DE64" s="953"/>
      <c r="DF64" s="953"/>
      <c r="DG64" s="953"/>
      <c r="DH64" s="953"/>
      <c r="DI64" s="953"/>
      <c r="DJ64" s="953"/>
      <c r="DK64" s="953"/>
      <c r="DL64" s="953"/>
      <c r="DM64" s="953"/>
      <c r="DN64" s="953"/>
      <c r="DO64" s="953"/>
      <c r="DP64" s="953"/>
      <c r="DQ64" s="953"/>
      <c r="DR64" s="953"/>
      <c r="DS64" s="953"/>
      <c r="DT64" s="953"/>
      <c r="DU64" s="953"/>
      <c r="DV64" s="953"/>
      <c r="DW64" s="953"/>
      <c r="DX64" s="953"/>
      <c r="DY64" s="953"/>
      <c r="DZ64" s="953"/>
      <c r="EA64" s="953"/>
      <c r="EB64" s="953"/>
      <c r="EC64" s="953"/>
      <c r="ED64" s="953"/>
      <c r="EE64" s="953"/>
      <c r="EF64" s="953"/>
      <c r="EG64" s="953"/>
      <c r="EH64" s="953"/>
      <c r="EI64" s="953"/>
      <c r="EJ64" s="953"/>
      <c r="EK64" s="953"/>
      <c r="EL64" s="953"/>
      <c r="EM64" s="953"/>
      <c r="EN64" s="953"/>
      <c r="EO64" s="953"/>
      <c r="EP64" s="953"/>
      <c r="EQ64" s="953"/>
      <c r="ER64" s="953"/>
      <c r="ES64" s="953"/>
      <c r="ET64" s="953"/>
      <c r="EU64" s="953"/>
      <c r="EV64" s="953"/>
      <c r="EW64" s="953"/>
      <c r="EX64" s="953"/>
      <c r="EY64" s="953"/>
      <c r="EZ64" s="953"/>
      <c r="FA64" s="953"/>
      <c r="FB64" s="953"/>
      <c r="FC64" s="953"/>
      <c r="FD64" s="953"/>
      <c r="FE64" s="953"/>
      <c r="FF64" s="953"/>
      <c r="FG64" s="953"/>
      <c r="FH64" s="953"/>
      <c r="FI64" s="953"/>
      <c r="FJ64" s="953"/>
      <c r="FK64" s="953"/>
      <c r="FL64" s="953"/>
      <c r="FM64" s="953"/>
      <c r="FN64" s="953"/>
      <c r="FO64" s="953"/>
      <c r="FP64" s="953"/>
      <c r="FQ64" s="953"/>
      <c r="FR64" s="953"/>
      <c r="FS64" s="953"/>
      <c r="FT64" s="953"/>
      <c r="FU64" s="953"/>
      <c r="FV64" s="953"/>
      <c r="FW64" s="953"/>
      <c r="FX64" s="953"/>
      <c r="FY64" s="953"/>
      <c r="FZ64" s="953"/>
      <c r="GA64" s="953"/>
      <c r="GB64" s="953"/>
      <c r="GC64" s="953"/>
      <c r="GD64" s="953"/>
      <c r="GE64" s="953"/>
      <c r="GF64" s="953"/>
      <c r="GG64" s="953"/>
      <c r="GH64" s="953"/>
      <c r="GI64" s="953"/>
      <c r="GJ64" s="953"/>
      <c r="GK64" s="953"/>
      <c r="GL64" s="953"/>
      <c r="GM64" s="953"/>
      <c r="GN64" s="953"/>
      <c r="GO64" s="953"/>
      <c r="GP64" s="953"/>
    </row>
    <row r="65" spans="1:198" s="959" customFormat="1">
      <c r="A65" s="995" t="s">
        <v>11</v>
      </c>
      <c r="B65" s="955" t="s">
        <v>607</v>
      </c>
      <c r="C65" s="956" t="s">
        <v>11</v>
      </c>
      <c r="D65" s="956"/>
      <c r="E65" s="956"/>
      <c r="F65" s="957"/>
      <c r="G65" s="958"/>
    </row>
    <row r="66" spans="1:198" s="954" customFormat="1">
      <c r="A66" s="996" t="s">
        <v>1325</v>
      </c>
      <c r="B66" s="960" t="s">
        <v>608</v>
      </c>
      <c r="C66" s="949" t="s">
        <v>8</v>
      </c>
      <c r="D66" s="941">
        <f>CEILING(165.5*1.15,1)</f>
        <v>191</v>
      </c>
      <c r="E66" s="950"/>
      <c r="F66" s="951"/>
      <c r="G66" s="952"/>
      <c r="H66" s="953"/>
      <c r="I66" s="953"/>
      <c r="J66" s="953"/>
      <c r="K66" s="953"/>
      <c r="L66" s="953"/>
      <c r="M66" s="953"/>
      <c r="N66" s="953"/>
      <c r="O66" s="953"/>
      <c r="P66" s="953"/>
      <c r="Q66" s="953"/>
      <c r="R66" s="953"/>
      <c r="S66" s="953"/>
      <c r="T66" s="953"/>
      <c r="U66" s="953"/>
      <c r="V66" s="953"/>
      <c r="W66" s="953"/>
      <c r="X66" s="953"/>
      <c r="Y66" s="953"/>
      <c r="Z66" s="953"/>
      <c r="AA66" s="953"/>
      <c r="AB66" s="953"/>
      <c r="AC66" s="953"/>
      <c r="AD66" s="953"/>
      <c r="AE66" s="953"/>
      <c r="AF66" s="953"/>
      <c r="AG66" s="953"/>
      <c r="AH66" s="953"/>
      <c r="AI66" s="953"/>
      <c r="AJ66" s="953"/>
      <c r="AK66" s="953"/>
      <c r="AL66" s="953"/>
      <c r="AM66" s="953"/>
      <c r="AN66" s="953"/>
      <c r="AO66" s="953"/>
      <c r="AP66" s="953"/>
      <c r="AQ66" s="953"/>
      <c r="AR66" s="953"/>
      <c r="AS66" s="953"/>
      <c r="AT66" s="953"/>
      <c r="AU66" s="953"/>
      <c r="AV66" s="953"/>
      <c r="AW66" s="953"/>
      <c r="AX66" s="953"/>
      <c r="AY66" s="953"/>
      <c r="AZ66" s="953"/>
      <c r="BA66" s="953"/>
      <c r="BB66" s="953"/>
      <c r="BC66" s="953"/>
      <c r="BD66" s="953"/>
      <c r="BE66" s="953"/>
      <c r="BF66" s="953"/>
      <c r="BG66" s="953"/>
      <c r="BH66" s="953"/>
      <c r="BI66" s="953"/>
      <c r="BJ66" s="953"/>
      <c r="BK66" s="953"/>
      <c r="BL66" s="953"/>
      <c r="BM66" s="953"/>
      <c r="BN66" s="953"/>
      <c r="BO66" s="953"/>
      <c r="BP66" s="953"/>
      <c r="BQ66" s="953"/>
      <c r="BR66" s="953"/>
      <c r="BS66" s="953"/>
      <c r="BT66" s="953"/>
      <c r="BU66" s="953"/>
      <c r="BV66" s="953"/>
      <c r="BW66" s="953"/>
      <c r="BX66" s="953"/>
      <c r="BY66" s="953"/>
      <c r="BZ66" s="953"/>
      <c r="CA66" s="953"/>
      <c r="CB66" s="953"/>
      <c r="CC66" s="953"/>
      <c r="CD66" s="953"/>
      <c r="CE66" s="953"/>
      <c r="CF66" s="953"/>
      <c r="CG66" s="953"/>
      <c r="CH66" s="953"/>
      <c r="CI66" s="953"/>
      <c r="CJ66" s="953"/>
      <c r="CK66" s="953"/>
      <c r="CL66" s="953"/>
      <c r="CM66" s="953"/>
      <c r="CN66" s="953"/>
      <c r="CO66" s="953"/>
      <c r="CP66" s="953"/>
      <c r="CQ66" s="953"/>
      <c r="CR66" s="953"/>
      <c r="CS66" s="953"/>
      <c r="CT66" s="953"/>
      <c r="CU66" s="953"/>
      <c r="CV66" s="953"/>
      <c r="CW66" s="953"/>
      <c r="CX66" s="953"/>
      <c r="CY66" s="953"/>
      <c r="CZ66" s="953"/>
      <c r="DA66" s="953"/>
      <c r="DB66" s="953"/>
      <c r="DC66" s="953"/>
      <c r="DD66" s="953"/>
      <c r="DE66" s="953"/>
      <c r="DF66" s="953"/>
      <c r="DG66" s="953"/>
      <c r="DH66" s="953"/>
      <c r="DI66" s="953"/>
      <c r="DJ66" s="953"/>
      <c r="DK66" s="953"/>
      <c r="DL66" s="953"/>
      <c r="DM66" s="953"/>
      <c r="DN66" s="953"/>
      <c r="DO66" s="953"/>
      <c r="DP66" s="953"/>
      <c r="DQ66" s="953"/>
      <c r="DR66" s="953"/>
      <c r="DS66" s="953"/>
      <c r="DT66" s="953"/>
      <c r="DU66" s="953"/>
      <c r="DV66" s="953"/>
      <c r="DW66" s="953"/>
      <c r="DX66" s="953"/>
      <c r="DY66" s="953"/>
      <c r="DZ66" s="953"/>
      <c r="EA66" s="953"/>
      <c r="EB66" s="953"/>
      <c r="EC66" s="953"/>
      <c r="ED66" s="953"/>
      <c r="EE66" s="953"/>
      <c r="EF66" s="953"/>
      <c r="EG66" s="953"/>
      <c r="EH66" s="953"/>
      <c r="EI66" s="953"/>
      <c r="EJ66" s="953"/>
      <c r="EK66" s="953"/>
      <c r="EL66" s="953"/>
      <c r="EM66" s="953"/>
      <c r="EN66" s="953"/>
      <c r="EO66" s="953"/>
      <c r="EP66" s="953"/>
      <c r="EQ66" s="953"/>
      <c r="ER66" s="953"/>
      <c r="ES66" s="953"/>
      <c r="ET66" s="953"/>
      <c r="EU66" s="953"/>
      <c r="EV66" s="953"/>
      <c r="EW66" s="953"/>
      <c r="EX66" s="953"/>
      <c r="EY66" s="953"/>
      <c r="EZ66" s="953"/>
      <c r="FA66" s="953"/>
      <c r="FB66" s="953"/>
      <c r="FC66" s="953"/>
      <c r="FD66" s="953"/>
      <c r="FE66" s="953"/>
      <c r="FF66" s="953"/>
      <c r="FG66" s="953"/>
      <c r="FH66" s="953"/>
      <c r="FI66" s="953"/>
      <c r="FJ66" s="953"/>
      <c r="FK66" s="953"/>
      <c r="FL66" s="953"/>
      <c r="FM66" s="953"/>
      <c r="FN66" s="953"/>
      <c r="FO66" s="953"/>
      <c r="FP66" s="953"/>
      <c r="FQ66" s="953"/>
      <c r="FR66" s="953"/>
      <c r="FS66" s="953"/>
      <c r="FT66" s="953"/>
      <c r="FU66" s="953"/>
      <c r="FV66" s="953"/>
      <c r="FW66" s="953"/>
      <c r="FX66" s="953"/>
      <c r="FY66" s="953"/>
      <c r="FZ66" s="953"/>
      <c r="GA66" s="953"/>
      <c r="GB66" s="953"/>
      <c r="GC66" s="953"/>
      <c r="GD66" s="953"/>
      <c r="GE66" s="953"/>
      <c r="GF66" s="953"/>
      <c r="GG66" s="953"/>
      <c r="GH66" s="953"/>
      <c r="GI66" s="953"/>
      <c r="GJ66" s="953"/>
      <c r="GK66" s="953"/>
      <c r="GL66" s="953"/>
      <c r="GM66" s="953"/>
      <c r="GN66" s="953"/>
      <c r="GO66" s="953"/>
      <c r="GP66" s="953"/>
    </row>
    <row r="67" spans="1:198" s="959" customFormat="1">
      <c r="A67" s="996" t="s">
        <v>1326</v>
      </c>
      <c r="B67" s="956" t="s">
        <v>1377</v>
      </c>
      <c r="C67" s="956" t="s">
        <v>9</v>
      </c>
      <c r="D67" s="956">
        <f>CEILING((9.65+7.9)*12,1)</f>
        <v>211</v>
      </c>
      <c r="E67" s="956"/>
      <c r="F67" s="951"/>
      <c r="G67" s="958"/>
    </row>
    <row r="68" spans="1:198" s="959" customFormat="1">
      <c r="A68" s="996" t="s">
        <v>1327</v>
      </c>
      <c r="B68" s="956" t="s">
        <v>691</v>
      </c>
      <c r="C68" s="956" t="s">
        <v>9</v>
      </c>
      <c r="D68" s="956">
        <f>CEILING((12.975+1.65)*12,1)</f>
        <v>176</v>
      </c>
      <c r="E68" s="956"/>
      <c r="F68" s="951"/>
      <c r="G68" s="958"/>
    </row>
    <row r="69" spans="1:198" s="959" customFormat="1">
      <c r="A69" s="996" t="s">
        <v>1328</v>
      </c>
      <c r="B69" s="956" t="s">
        <v>327</v>
      </c>
      <c r="C69" s="956" t="s">
        <v>9</v>
      </c>
      <c r="D69" s="956">
        <f>CEILING(18.6*12,1)</f>
        <v>224</v>
      </c>
      <c r="E69" s="956"/>
      <c r="F69" s="951"/>
      <c r="G69" s="958"/>
    </row>
    <row r="70" spans="1:198" s="959" customFormat="1">
      <c r="A70" s="996" t="s">
        <v>1329</v>
      </c>
      <c r="B70" s="956" t="s">
        <v>347</v>
      </c>
      <c r="C70" s="956" t="s">
        <v>9</v>
      </c>
      <c r="D70" s="956">
        <f>CEILING(63.5*2,1)</f>
        <v>127</v>
      </c>
      <c r="E70" s="956"/>
      <c r="F70" s="951"/>
      <c r="G70" s="958"/>
    </row>
    <row r="71" spans="1:198" s="959" customFormat="1">
      <c r="A71" s="996" t="s">
        <v>1330</v>
      </c>
      <c r="B71" s="956" t="s">
        <v>609</v>
      </c>
      <c r="C71" s="956" t="s">
        <v>9</v>
      </c>
      <c r="D71" s="956">
        <f>CEILING(12*3*0.5,1)</f>
        <v>18</v>
      </c>
      <c r="E71" s="956"/>
      <c r="F71" s="951"/>
      <c r="G71" s="958"/>
    </row>
    <row r="72" spans="1:198" s="959" customFormat="1">
      <c r="A72" s="996" t="s">
        <v>1331</v>
      </c>
      <c r="B72" s="956" t="s">
        <v>502</v>
      </c>
      <c r="C72" s="956" t="s">
        <v>9</v>
      </c>
      <c r="D72" s="956">
        <v>19</v>
      </c>
      <c r="E72" s="956"/>
      <c r="F72" s="951"/>
      <c r="G72" s="958"/>
    </row>
    <row r="73" spans="1:198" s="959" customFormat="1">
      <c r="A73" s="995"/>
      <c r="B73" s="900"/>
      <c r="C73" s="956"/>
      <c r="D73" s="956"/>
      <c r="E73" s="956"/>
      <c r="F73" s="951"/>
      <c r="G73" s="958"/>
    </row>
    <row r="74" spans="1:198" s="959" customFormat="1">
      <c r="A74" s="995" t="s">
        <v>11</v>
      </c>
      <c r="B74" s="900" t="s">
        <v>525</v>
      </c>
      <c r="C74" s="956" t="s">
        <v>11</v>
      </c>
      <c r="D74" s="956" t="s">
        <v>11</v>
      </c>
      <c r="E74" s="956"/>
      <c r="F74" s="961"/>
      <c r="G74" s="958"/>
    </row>
    <row r="75" spans="1:198" s="959" customFormat="1">
      <c r="A75" s="995"/>
      <c r="B75" s="956" t="s">
        <v>526</v>
      </c>
      <c r="C75" s="956" t="s">
        <v>11</v>
      </c>
      <c r="D75" s="956" t="s">
        <v>11</v>
      </c>
      <c r="E75" s="956"/>
      <c r="F75" s="961"/>
      <c r="G75" s="958"/>
    </row>
    <row r="76" spans="1:198" s="959" customFormat="1">
      <c r="A76" s="995" t="s">
        <v>1332</v>
      </c>
      <c r="B76" s="956" t="s">
        <v>610</v>
      </c>
      <c r="C76" s="956" t="s">
        <v>8</v>
      </c>
      <c r="D76" s="956">
        <f>CEILING((165.54-139),1)</f>
        <v>27</v>
      </c>
      <c r="E76" s="956"/>
      <c r="F76" s="961"/>
      <c r="G76" s="958"/>
    </row>
    <row r="77" spans="1:198" s="959" customFormat="1">
      <c r="A77" s="995" t="s">
        <v>1333</v>
      </c>
      <c r="B77" s="956" t="s">
        <v>527</v>
      </c>
      <c r="C77" s="956" t="s">
        <v>9</v>
      </c>
      <c r="D77" s="956">
        <v>55</v>
      </c>
      <c r="E77" s="956"/>
      <c r="F77" s="961"/>
      <c r="G77" s="958"/>
    </row>
    <row r="78" spans="1:198" s="959" customFormat="1">
      <c r="A78" s="997" t="s">
        <v>11</v>
      </c>
      <c r="B78" s="955" t="s">
        <v>303</v>
      </c>
      <c r="C78" s="956" t="s">
        <v>11</v>
      </c>
      <c r="D78" s="956" t="s">
        <v>11</v>
      </c>
      <c r="E78" s="956"/>
      <c r="F78" s="961"/>
      <c r="G78" s="958"/>
    </row>
    <row r="79" spans="1:198" s="959" customFormat="1">
      <c r="A79" s="997" t="s">
        <v>1334</v>
      </c>
      <c r="B79" s="956" t="s">
        <v>611</v>
      </c>
      <c r="C79" s="956" t="s">
        <v>8</v>
      </c>
      <c r="D79" s="956">
        <f>D76</f>
        <v>27</v>
      </c>
      <c r="E79" s="956"/>
      <c r="F79" s="961"/>
      <c r="G79" s="958"/>
    </row>
    <row r="80" spans="1:198" s="959" customFormat="1">
      <c r="A80" s="997" t="s">
        <v>1335</v>
      </c>
      <c r="B80" s="956" t="s">
        <v>528</v>
      </c>
      <c r="C80" s="956" t="s">
        <v>9</v>
      </c>
      <c r="D80" s="956">
        <f>D77</f>
        <v>55</v>
      </c>
      <c r="E80" s="956"/>
      <c r="F80" s="961"/>
      <c r="G80" s="958"/>
    </row>
    <row r="81" spans="1:198" s="959" customFormat="1">
      <c r="A81" s="997"/>
      <c r="B81" s="900"/>
      <c r="C81" s="956"/>
      <c r="D81" s="956"/>
      <c r="E81" s="956"/>
      <c r="F81" s="961"/>
      <c r="G81" s="958"/>
    </row>
    <row r="82" spans="1:198" s="959" customFormat="1">
      <c r="A82" s="997" t="s">
        <v>11</v>
      </c>
      <c r="B82" s="900" t="s">
        <v>503</v>
      </c>
      <c r="C82" s="956" t="s">
        <v>11</v>
      </c>
      <c r="D82" s="956" t="s">
        <v>11</v>
      </c>
      <c r="E82" s="956"/>
      <c r="F82" s="961"/>
      <c r="G82" s="958"/>
    </row>
    <row r="83" spans="1:198" s="959" customFormat="1" ht="28.8">
      <c r="A83" s="997" t="s">
        <v>1336</v>
      </c>
      <c r="B83" s="956" t="s">
        <v>612</v>
      </c>
      <c r="C83" s="956" t="s">
        <v>9</v>
      </c>
      <c r="D83" s="956">
        <f>D80</f>
        <v>55</v>
      </c>
      <c r="E83" s="956"/>
      <c r="F83" s="961"/>
      <c r="G83" s="958"/>
    </row>
    <row r="84" spans="1:198" s="959" customFormat="1">
      <c r="A84" s="995" t="s">
        <v>11</v>
      </c>
      <c r="B84" s="900" t="s">
        <v>490</v>
      </c>
      <c r="C84" s="956" t="s">
        <v>11</v>
      </c>
      <c r="D84" s="956" t="s">
        <v>11</v>
      </c>
      <c r="E84" s="956"/>
      <c r="F84" s="961"/>
      <c r="G84" s="958"/>
    </row>
    <row r="85" spans="1:198" s="959" customFormat="1" ht="28.8">
      <c r="A85" s="995" t="s">
        <v>1337</v>
      </c>
      <c r="B85" s="956" t="s">
        <v>348</v>
      </c>
      <c r="C85" s="956" t="s">
        <v>9</v>
      </c>
      <c r="D85" s="956">
        <f>6*3</f>
        <v>18</v>
      </c>
      <c r="E85" s="956"/>
      <c r="F85" s="961"/>
      <c r="G85" s="958"/>
    </row>
    <row r="86" spans="1:198" s="959" customFormat="1">
      <c r="A86" s="995" t="s">
        <v>1338</v>
      </c>
      <c r="B86" s="956" t="s">
        <v>504</v>
      </c>
      <c r="C86" s="956" t="s">
        <v>305</v>
      </c>
      <c r="D86" s="956">
        <v>6</v>
      </c>
      <c r="E86" s="956"/>
      <c r="F86" s="961"/>
      <c r="G86" s="958"/>
    </row>
    <row r="87" spans="1:198" s="959" customFormat="1">
      <c r="A87" s="995" t="s">
        <v>1339</v>
      </c>
      <c r="B87" s="956" t="s">
        <v>505</v>
      </c>
      <c r="C87" s="956" t="s">
        <v>305</v>
      </c>
      <c r="D87" s="956">
        <f>D86</f>
        <v>6</v>
      </c>
      <c r="E87" s="956"/>
      <c r="F87" s="961"/>
      <c r="G87" s="958"/>
    </row>
    <row r="88" spans="1:198" s="959" customFormat="1" ht="28.8">
      <c r="A88" s="995" t="s">
        <v>1340</v>
      </c>
      <c r="B88" s="956" t="s">
        <v>1202</v>
      </c>
      <c r="C88" s="956" t="s">
        <v>9</v>
      </c>
      <c r="D88" s="956">
        <f>D83</f>
        <v>55</v>
      </c>
      <c r="E88" s="956"/>
      <c r="F88" s="961"/>
      <c r="G88" s="958"/>
    </row>
    <row r="89" spans="1:198" s="959" customFormat="1">
      <c r="A89" s="998"/>
      <c r="B89" s="900"/>
      <c r="C89" s="900"/>
      <c r="D89" s="900"/>
      <c r="E89" s="900"/>
      <c r="F89" s="961"/>
      <c r="G89" s="958"/>
    </row>
    <row r="90" spans="1:198" s="964" customFormat="1">
      <c r="A90" s="998"/>
      <c r="B90" s="900" t="s">
        <v>1113</v>
      </c>
      <c r="C90" s="900"/>
      <c r="D90" s="900"/>
      <c r="E90" s="900"/>
      <c r="F90" s="962"/>
      <c r="G90" s="963"/>
    </row>
    <row r="91" spans="1:198" s="964" customFormat="1">
      <c r="A91" s="998"/>
      <c r="B91" s="900"/>
      <c r="C91" s="900"/>
      <c r="D91" s="900"/>
      <c r="E91" s="900"/>
      <c r="F91" s="962"/>
      <c r="G91" s="963"/>
    </row>
    <row r="92" spans="1:198" s="954" customFormat="1">
      <c r="A92" s="999">
        <v>8.5</v>
      </c>
      <c r="B92" s="942" t="s">
        <v>1114</v>
      </c>
      <c r="C92" s="965"/>
      <c r="D92" s="965"/>
      <c r="E92" s="944"/>
      <c r="F92" s="961"/>
      <c r="G92" s="952"/>
      <c r="H92" s="953"/>
      <c r="I92" s="953"/>
      <c r="J92" s="953"/>
      <c r="K92" s="953"/>
      <c r="L92" s="953"/>
      <c r="M92" s="953"/>
      <c r="N92" s="953"/>
      <c r="O92" s="953"/>
      <c r="P92" s="953"/>
      <c r="Q92" s="953"/>
      <c r="R92" s="953"/>
      <c r="S92" s="953"/>
      <c r="T92" s="953"/>
      <c r="U92" s="953"/>
      <c r="V92" s="953"/>
      <c r="W92" s="953"/>
      <c r="X92" s="953"/>
      <c r="Y92" s="953"/>
      <c r="Z92" s="953"/>
      <c r="AA92" s="953"/>
      <c r="AB92" s="953"/>
      <c r="AC92" s="953"/>
      <c r="AD92" s="953"/>
      <c r="AE92" s="953"/>
      <c r="AF92" s="953"/>
      <c r="AG92" s="953"/>
      <c r="AH92" s="953"/>
      <c r="AI92" s="953"/>
      <c r="AJ92" s="953"/>
      <c r="AK92" s="953"/>
      <c r="AL92" s="953"/>
      <c r="AM92" s="953"/>
      <c r="AN92" s="953"/>
      <c r="AO92" s="953"/>
      <c r="AP92" s="953"/>
      <c r="AQ92" s="953"/>
      <c r="AR92" s="953"/>
      <c r="AS92" s="953"/>
      <c r="AT92" s="953"/>
      <c r="AU92" s="953"/>
      <c r="AV92" s="953"/>
      <c r="AW92" s="953"/>
      <c r="AX92" s="953"/>
      <c r="AY92" s="953"/>
      <c r="AZ92" s="953"/>
      <c r="BA92" s="953"/>
      <c r="BB92" s="953"/>
      <c r="BC92" s="953"/>
      <c r="BD92" s="953"/>
      <c r="BE92" s="953"/>
      <c r="BF92" s="953"/>
      <c r="BG92" s="953"/>
      <c r="BH92" s="953"/>
      <c r="BI92" s="953"/>
      <c r="BJ92" s="953"/>
      <c r="BK92" s="953"/>
      <c r="BL92" s="953"/>
      <c r="BM92" s="953"/>
      <c r="BN92" s="953"/>
      <c r="BO92" s="953"/>
      <c r="BP92" s="953"/>
      <c r="BQ92" s="953"/>
      <c r="BR92" s="953"/>
      <c r="BS92" s="953"/>
      <c r="BT92" s="953"/>
      <c r="BU92" s="953"/>
      <c r="BV92" s="953"/>
      <c r="BW92" s="953"/>
      <c r="BX92" s="953"/>
      <c r="BY92" s="953"/>
      <c r="BZ92" s="953"/>
      <c r="CA92" s="953"/>
      <c r="CB92" s="953"/>
      <c r="CC92" s="953"/>
      <c r="CD92" s="953"/>
      <c r="CE92" s="953"/>
      <c r="CF92" s="953"/>
      <c r="CG92" s="953"/>
      <c r="CH92" s="953"/>
      <c r="CI92" s="953"/>
      <c r="CJ92" s="953"/>
      <c r="CK92" s="953"/>
      <c r="CL92" s="953"/>
      <c r="CM92" s="953"/>
      <c r="CN92" s="953"/>
      <c r="CO92" s="953"/>
      <c r="CP92" s="953"/>
      <c r="CQ92" s="953"/>
      <c r="CR92" s="953"/>
      <c r="CS92" s="953"/>
      <c r="CT92" s="953"/>
      <c r="CU92" s="953"/>
      <c r="CV92" s="953"/>
      <c r="CW92" s="953"/>
      <c r="CX92" s="953"/>
      <c r="CY92" s="953"/>
      <c r="CZ92" s="953"/>
      <c r="DA92" s="953"/>
      <c r="DB92" s="953"/>
      <c r="DC92" s="953"/>
      <c r="DD92" s="953"/>
      <c r="DE92" s="953"/>
      <c r="DF92" s="953"/>
      <c r="DG92" s="953"/>
      <c r="DH92" s="953"/>
      <c r="DI92" s="953"/>
      <c r="DJ92" s="953"/>
      <c r="DK92" s="953"/>
      <c r="DL92" s="953"/>
      <c r="DM92" s="953"/>
      <c r="DN92" s="953"/>
      <c r="DO92" s="953"/>
      <c r="DP92" s="953"/>
      <c r="DQ92" s="953"/>
      <c r="DR92" s="953"/>
      <c r="DS92" s="953"/>
      <c r="DT92" s="953"/>
      <c r="DU92" s="953"/>
      <c r="DV92" s="953"/>
      <c r="DW92" s="953"/>
      <c r="DX92" s="953"/>
      <c r="DY92" s="953"/>
      <c r="DZ92" s="953"/>
      <c r="EA92" s="953"/>
      <c r="EB92" s="953"/>
      <c r="EC92" s="953"/>
      <c r="ED92" s="953"/>
      <c r="EE92" s="953"/>
      <c r="EF92" s="953"/>
      <c r="EG92" s="953"/>
      <c r="EH92" s="953"/>
      <c r="EI92" s="953"/>
      <c r="EJ92" s="953"/>
      <c r="EK92" s="953"/>
      <c r="EL92" s="953"/>
      <c r="EM92" s="953"/>
      <c r="EN92" s="953"/>
      <c r="EO92" s="953"/>
      <c r="EP92" s="953"/>
      <c r="EQ92" s="953"/>
      <c r="ER92" s="953"/>
      <c r="ES92" s="953"/>
      <c r="ET92" s="953"/>
      <c r="EU92" s="953"/>
      <c r="EV92" s="953"/>
      <c r="EW92" s="953"/>
      <c r="EX92" s="953"/>
      <c r="EY92" s="953"/>
      <c r="EZ92" s="953"/>
      <c r="FA92" s="953"/>
      <c r="FB92" s="953"/>
      <c r="FC92" s="953"/>
      <c r="FD92" s="953"/>
      <c r="FE92" s="953"/>
      <c r="FF92" s="953"/>
      <c r="FG92" s="953"/>
      <c r="FH92" s="953"/>
      <c r="FI92" s="953"/>
      <c r="FJ92" s="953"/>
      <c r="FK92" s="953"/>
      <c r="FL92" s="953"/>
      <c r="FM92" s="953"/>
      <c r="FN92" s="953"/>
      <c r="FO92" s="953"/>
      <c r="FP92" s="953"/>
      <c r="FQ92" s="953"/>
      <c r="FR92" s="953"/>
      <c r="FS92" s="953"/>
      <c r="FT92" s="953"/>
      <c r="FU92" s="953"/>
      <c r="FV92" s="953"/>
      <c r="FW92" s="953"/>
      <c r="FX92" s="953"/>
      <c r="FY92" s="953"/>
      <c r="FZ92" s="953"/>
      <c r="GA92" s="953"/>
      <c r="GB92" s="953"/>
      <c r="GC92" s="953"/>
      <c r="GD92" s="953"/>
      <c r="GE92" s="953"/>
      <c r="GF92" s="953"/>
      <c r="GG92" s="953"/>
      <c r="GH92" s="953"/>
      <c r="GI92" s="953"/>
      <c r="GJ92" s="953"/>
      <c r="GK92" s="953"/>
      <c r="GL92" s="953"/>
      <c r="GM92" s="953"/>
      <c r="GN92" s="953"/>
      <c r="GO92" s="953"/>
      <c r="GP92" s="953"/>
    </row>
    <row r="93" spans="1:198" s="959" customFormat="1" ht="28.8">
      <c r="A93" s="1000" t="s">
        <v>1341</v>
      </c>
      <c r="B93" s="956" t="s">
        <v>710</v>
      </c>
      <c r="C93" s="966" t="s">
        <v>305</v>
      </c>
      <c r="D93" s="966">
        <v>2</v>
      </c>
      <c r="E93" s="966"/>
      <c r="F93" s="961"/>
      <c r="G93" s="958"/>
    </row>
    <row r="94" spans="1:198" s="1067" customFormat="1" ht="28.8">
      <c r="A94" s="1000" t="s">
        <v>1342</v>
      </c>
      <c r="B94" s="1034" t="s">
        <v>709</v>
      </c>
      <c r="C94" s="966" t="s">
        <v>305</v>
      </c>
      <c r="D94" s="966">
        <v>2</v>
      </c>
      <c r="E94" s="966"/>
      <c r="F94" s="961"/>
      <c r="G94" s="1066"/>
    </row>
    <row r="95" spans="1:198" s="959" customFormat="1" ht="28.8">
      <c r="A95" s="1000" t="s">
        <v>1343</v>
      </c>
      <c r="B95" s="956" t="s">
        <v>614</v>
      </c>
      <c r="C95" s="966" t="s">
        <v>9</v>
      </c>
      <c r="D95" s="966">
        <f>CEILING(6*D93+5.1*D94,1)</f>
        <v>23</v>
      </c>
      <c r="E95" s="966"/>
      <c r="F95" s="961"/>
      <c r="G95" s="958"/>
    </row>
    <row r="96" spans="1:198" s="959" customFormat="1">
      <c r="A96" s="1000" t="s">
        <v>1344</v>
      </c>
      <c r="B96" s="956" t="s">
        <v>615</v>
      </c>
      <c r="C96" s="966" t="s">
        <v>9</v>
      </c>
      <c r="D96" s="966">
        <f>D95*2</f>
        <v>46</v>
      </c>
      <c r="E96" s="966"/>
      <c r="F96" s="961"/>
      <c r="G96" s="958"/>
    </row>
    <row r="97" spans="1:198" s="959" customFormat="1">
      <c r="A97" s="1000" t="s">
        <v>1345</v>
      </c>
      <c r="B97" s="956" t="s">
        <v>616</v>
      </c>
      <c r="C97" s="966" t="s">
        <v>9</v>
      </c>
      <c r="D97" s="966">
        <f>D96</f>
        <v>46</v>
      </c>
      <c r="E97" s="966"/>
      <c r="F97" s="961"/>
      <c r="G97" s="958"/>
    </row>
    <row r="98" spans="1:198" s="1067" customFormat="1">
      <c r="A98" s="1351"/>
      <c r="B98" s="1352"/>
      <c r="C98" s="1282"/>
      <c r="D98" s="1282"/>
      <c r="E98" s="1282"/>
      <c r="F98" s="961"/>
      <c r="G98" s="1066"/>
    </row>
    <row r="99" spans="1:198" s="959" customFormat="1">
      <c r="A99" s="1000" t="s">
        <v>11</v>
      </c>
      <c r="B99" s="900" t="s">
        <v>617</v>
      </c>
      <c r="C99" s="966" t="s">
        <v>11</v>
      </c>
      <c r="D99" s="966" t="s">
        <v>11</v>
      </c>
      <c r="E99" s="966"/>
      <c r="F99" s="961"/>
      <c r="G99" s="958"/>
    </row>
    <row r="100" spans="1:198" s="959" customFormat="1" ht="28.8">
      <c r="A100" s="1000" t="s">
        <v>1346</v>
      </c>
      <c r="B100" s="956" t="s">
        <v>618</v>
      </c>
      <c r="C100" s="966" t="s">
        <v>11</v>
      </c>
      <c r="D100" s="966" t="s">
        <v>11</v>
      </c>
      <c r="E100" s="966"/>
      <c r="F100" s="961"/>
      <c r="G100" s="958"/>
    </row>
    <row r="101" spans="1:198" s="959" customFormat="1">
      <c r="A101" s="1000" t="s">
        <v>1347</v>
      </c>
      <c r="B101" s="956" t="s">
        <v>619</v>
      </c>
      <c r="C101" s="966" t="s">
        <v>305</v>
      </c>
      <c r="D101" s="966">
        <f>SUM(D93:D94)</f>
        <v>4</v>
      </c>
      <c r="E101" s="966"/>
      <c r="F101" s="961"/>
      <c r="G101" s="958"/>
    </row>
    <row r="102" spans="1:198" s="970" customFormat="1">
      <c r="A102" s="1000" t="s">
        <v>1348</v>
      </c>
      <c r="B102" s="894" t="s">
        <v>620</v>
      </c>
      <c r="C102" s="967" t="s">
        <v>621</v>
      </c>
      <c r="D102" s="967">
        <f>D93*2*3/2+D94*3/2</f>
        <v>9</v>
      </c>
      <c r="E102" s="967"/>
      <c r="F102" s="968"/>
      <c r="G102" s="969"/>
    </row>
    <row r="103" spans="1:198" s="959" customFormat="1">
      <c r="A103" s="1000" t="s">
        <v>1349</v>
      </c>
      <c r="B103" s="956" t="s">
        <v>622</v>
      </c>
      <c r="C103" s="966" t="s">
        <v>305</v>
      </c>
      <c r="D103" s="966">
        <f>D101*2+2</f>
        <v>10</v>
      </c>
      <c r="E103" s="966"/>
      <c r="F103" s="961"/>
      <c r="G103" s="958"/>
    </row>
    <row r="104" spans="1:198" s="959" customFormat="1">
      <c r="A104" s="1000" t="s">
        <v>11</v>
      </c>
      <c r="B104" s="900" t="s">
        <v>623</v>
      </c>
      <c r="C104" s="966" t="s">
        <v>11</v>
      </c>
      <c r="D104" s="966" t="s">
        <v>11</v>
      </c>
      <c r="E104" s="966"/>
      <c r="F104" s="961"/>
      <c r="G104" s="958"/>
    </row>
    <row r="105" spans="1:198" s="959" customFormat="1" ht="28.8">
      <c r="A105" s="1000" t="s">
        <v>1378</v>
      </c>
      <c r="B105" s="956" t="s">
        <v>624</v>
      </c>
      <c r="C105" s="966" t="s">
        <v>329</v>
      </c>
      <c r="D105" s="966" t="s">
        <v>468</v>
      </c>
      <c r="E105" s="966"/>
      <c r="F105" s="961"/>
      <c r="G105" s="958"/>
    </row>
    <row r="106" spans="1:198" s="959" customFormat="1">
      <c r="A106" s="1000"/>
      <c r="B106" s="956"/>
      <c r="C106" s="966"/>
      <c r="D106" s="966"/>
      <c r="E106" s="966"/>
      <c r="F106" s="961"/>
      <c r="G106" s="958"/>
    </row>
    <row r="107" spans="1:198" s="964" customFormat="1">
      <c r="A107" s="1001"/>
      <c r="B107" s="955" t="s">
        <v>1115</v>
      </c>
      <c r="C107" s="971"/>
      <c r="D107" s="971"/>
      <c r="E107" s="971"/>
      <c r="F107" s="962"/>
      <c r="G107" s="963"/>
    </row>
    <row r="108" spans="1:198" s="964" customFormat="1">
      <c r="A108" s="1001"/>
      <c r="B108" s="955"/>
      <c r="C108" s="971"/>
      <c r="D108" s="971"/>
      <c r="E108" s="971"/>
      <c r="F108" s="962"/>
      <c r="G108" s="963"/>
    </row>
    <row r="109" spans="1:198" s="959" customFormat="1">
      <c r="A109" s="1000"/>
      <c r="B109" s="956"/>
      <c r="C109" s="966"/>
      <c r="D109" s="966"/>
      <c r="E109" s="966"/>
      <c r="F109" s="961"/>
      <c r="G109" s="958"/>
    </row>
    <row r="110" spans="1:198" s="959" customFormat="1">
      <c r="A110" s="1000"/>
      <c r="B110" s="956"/>
      <c r="C110" s="966"/>
      <c r="D110" s="966"/>
      <c r="E110" s="966"/>
      <c r="F110" s="961"/>
      <c r="G110" s="958"/>
    </row>
    <row r="111" spans="1:198" s="948" customFormat="1">
      <c r="A111" s="994">
        <v>8.6</v>
      </c>
      <c r="B111" s="942" t="s">
        <v>1116</v>
      </c>
      <c r="C111" s="943"/>
      <c r="D111" s="965"/>
      <c r="E111" s="944"/>
      <c r="F111" s="961"/>
      <c r="G111" s="946"/>
      <c r="H111" s="947"/>
      <c r="I111" s="947"/>
      <c r="J111" s="947"/>
      <c r="K111" s="947"/>
      <c r="L111" s="947"/>
      <c r="M111" s="947"/>
      <c r="N111" s="947"/>
      <c r="O111" s="947"/>
      <c r="P111" s="947"/>
      <c r="Q111" s="947"/>
      <c r="R111" s="947"/>
      <c r="S111" s="947"/>
      <c r="T111" s="947"/>
      <c r="U111" s="947"/>
      <c r="V111" s="947"/>
      <c r="W111" s="947"/>
      <c r="X111" s="947"/>
      <c r="Y111" s="947"/>
      <c r="Z111" s="947"/>
      <c r="AA111" s="947"/>
      <c r="AB111" s="947"/>
      <c r="AC111" s="947"/>
      <c r="AD111" s="947"/>
      <c r="AE111" s="947"/>
      <c r="AF111" s="947"/>
      <c r="AG111" s="947"/>
      <c r="AH111" s="947"/>
      <c r="AI111" s="947"/>
      <c r="AJ111" s="947"/>
      <c r="AK111" s="947"/>
      <c r="AL111" s="947"/>
      <c r="AM111" s="947"/>
      <c r="AN111" s="947"/>
      <c r="AO111" s="947"/>
      <c r="AP111" s="947"/>
      <c r="AQ111" s="947"/>
      <c r="AR111" s="947"/>
      <c r="AS111" s="947"/>
      <c r="AT111" s="947"/>
      <c r="AU111" s="947"/>
      <c r="AV111" s="947"/>
      <c r="AW111" s="947"/>
      <c r="AX111" s="947"/>
      <c r="AY111" s="947"/>
      <c r="AZ111" s="947"/>
      <c r="BA111" s="947"/>
      <c r="BB111" s="947"/>
      <c r="BC111" s="947"/>
      <c r="BD111" s="947"/>
      <c r="BE111" s="947"/>
      <c r="BF111" s="947"/>
      <c r="BG111" s="947"/>
      <c r="BH111" s="947"/>
      <c r="BI111" s="947"/>
      <c r="BJ111" s="947"/>
      <c r="BK111" s="947"/>
      <c r="BL111" s="947"/>
      <c r="BM111" s="947"/>
      <c r="BN111" s="947"/>
      <c r="BO111" s="947"/>
      <c r="BP111" s="947"/>
      <c r="BQ111" s="947"/>
      <c r="BR111" s="947"/>
      <c r="BS111" s="947"/>
      <c r="BT111" s="947"/>
      <c r="BU111" s="947"/>
      <c r="BV111" s="947"/>
      <c r="BW111" s="947"/>
      <c r="BX111" s="947"/>
      <c r="BY111" s="947"/>
      <c r="BZ111" s="947"/>
      <c r="CA111" s="947"/>
      <c r="CB111" s="947"/>
      <c r="CC111" s="947"/>
      <c r="CD111" s="947"/>
      <c r="CE111" s="947"/>
      <c r="CF111" s="947"/>
      <c r="CG111" s="947"/>
      <c r="CH111" s="947"/>
      <c r="CI111" s="947"/>
      <c r="CJ111" s="947"/>
      <c r="CK111" s="947"/>
      <c r="CL111" s="947"/>
      <c r="CM111" s="947"/>
      <c r="CN111" s="947"/>
      <c r="CO111" s="947"/>
      <c r="CP111" s="947"/>
      <c r="CQ111" s="947"/>
      <c r="CR111" s="947"/>
      <c r="CS111" s="947"/>
      <c r="CT111" s="947"/>
      <c r="CU111" s="947"/>
      <c r="CV111" s="947"/>
      <c r="CW111" s="947"/>
      <c r="CX111" s="947"/>
      <c r="CY111" s="947"/>
      <c r="CZ111" s="947"/>
      <c r="DA111" s="947"/>
      <c r="DB111" s="947"/>
      <c r="DC111" s="947"/>
      <c r="DD111" s="947"/>
      <c r="DE111" s="947"/>
      <c r="DF111" s="947"/>
      <c r="DG111" s="947"/>
      <c r="DH111" s="947"/>
      <c r="DI111" s="947"/>
      <c r="DJ111" s="947"/>
      <c r="DK111" s="947"/>
      <c r="DL111" s="947"/>
      <c r="DM111" s="947"/>
      <c r="DN111" s="947"/>
      <c r="DO111" s="947"/>
      <c r="DP111" s="947"/>
      <c r="DQ111" s="947"/>
      <c r="DR111" s="947"/>
      <c r="DS111" s="947"/>
      <c r="DT111" s="947"/>
      <c r="DU111" s="947"/>
      <c r="DV111" s="947"/>
      <c r="DW111" s="947"/>
      <c r="DX111" s="947"/>
      <c r="DY111" s="947"/>
      <c r="DZ111" s="947"/>
      <c r="EA111" s="947"/>
      <c r="EB111" s="947"/>
      <c r="EC111" s="947"/>
      <c r="ED111" s="947"/>
      <c r="EE111" s="947"/>
      <c r="EF111" s="947"/>
      <c r="EG111" s="947"/>
      <c r="EH111" s="947"/>
      <c r="EI111" s="947"/>
      <c r="EJ111" s="947"/>
      <c r="EK111" s="947"/>
      <c r="EL111" s="947"/>
      <c r="EM111" s="947"/>
      <c r="EN111" s="947"/>
      <c r="EO111" s="947"/>
      <c r="EP111" s="947"/>
      <c r="EQ111" s="947"/>
      <c r="ER111" s="947"/>
      <c r="ES111" s="947"/>
      <c r="ET111" s="947"/>
      <c r="EU111" s="947"/>
      <c r="EV111" s="947"/>
      <c r="EW111" s="947"/>
      <c r="EX111" s="947"/>
      <c r="EY111" s="947"/>
      <c r="EZ111" s="947"/>
      <c r="FA111" s="947"/>
      <c r="FB111" s="947"/>
      <c r="FC111" s="947"/>
      <c r="FD111" s="947"/>
      <c r="FE111" s="947"/>
      <c r="FF111" s="947"/>
      <c r="FG111" s="947"/>
      <c r="FH111" s="947"/>
      <c r="FI111" s="947"/>
      <c r="FJ111" s="947"/>
      <c r="FK111" s="947"/>
      <c r="FL111" s="947"/>
      <c r="FM111" s="947"/>
      <c r="FN111" s="947"/>
      <c r="FO111" s="947"/>
      <c r="FP111" s="947"/>
      <c r="FQ111" s="947"/>
      <c r="FR111" s="947"/>
      <c r="FS111" s="947"/>
      <c r="FT111" s="947"/>
      <c r="FU111" s="947"/>
      <c r="FV111" s="947"/>
      <c r="FW111" s="947"/>
      <c r="FX111" s="947"/>
      <c r="FY111" s="947"/>
      <c r="FZ111" s="947"/>
      <c r="GA111" s="947"/>
      <c r="GB111" s="947"/>
      <c r="GC111" s="947"/>
      <c r="GD111" s="947"/>
      <c r="GE111" s="947"/>
      <c r="GF111" s="947"/>
      <c r="GG111" s="947"/>
      <c r="GH111" s="947"/>
      <c r="GI111" s="947"/>
      <c r="GJ111" s="947"/>
      <c r="GK111" s="947"/>
      <c r="GL111" s="947"/>
      <c r="GM111" s="947"/>
      <c r="GN111" s="947"/>
      <c r="GO111" s="947"/>
      <c r="GP111" s="947"/>
    </row>
    <row r="112" spans="1:198" s="954" customFormat="1" ht="28.8">
      <c r="A112" s="996" t="s">
        <v>1350</v>
      </c>
      <c r="B112" s="960" t="s">
        <v>625</v>
      </c>
      <c r="C112" s="949" t="s">
        <v>304</v>
      </c>
      <c r="D112" s="941">
        <v>13</v>
      </c>
      <c r="E112" s="950"/>
      <c r="F112" s="961"/>
      <c r="G112" s="952"/>
      <c r="H112" s="953"/>
      <c r="I112" s="953"/>
      <c r="J112" s="953"/>
      <c r="K112" s="953"/>
      <c r="L112" s="953"/>
      <c r="M112" s="953"/>
      <c r="N112" s="953"/>
      <c r="O112" s="953"/>
      <c r="P112" s="953"/>
      <c r="Q112" s="953"/>
      <c r="R112" s="953"/>
      <c r="S112" s="953"/>
      <c r="T112" s="953"/>
      <c r="U112" s="953"/>
      <c r="V112" s="953"/>
      <c r="W112" s="953"/>
      <c r="X112" s="953"/>
      <c r="Y112" s="953"/>
      <c r="Z112" s="953"/>
      <c r="AA112" s="953"/>
      <c r="AB112" s="953"/>
      <c r="AC112" s="953"/>
      <c r="AD112" s="953"/>
      <c r="AE112" s="953"/>
      <c r="AF112" s="953"/>
      <c r="AG112" s="953"/>
      <c r="AH112" s="953"/>
      <c r="AI112" s="953"/>
      <c r="AJ112" s="953"/>
      <c r="AK112" s="953"/>
      <c r="AL112" s="953"/>
      <c r="AM112" s="953"/>
      <c r="AN112" s="953"/>
      <c r="AO112" s="953"/>
      <c r="AP112" s="953"/>
      <c r="AQ112" s="953"/>
      <c r="AR112" s="953"/>
      <c r="AS112" s="953"/>
      <c r="AT112" s="953"/>
      <c r="AU112" s="953"/>
      <c r="AV112" s="953"/>
      <c r="AW112" s="953"/>
      <c r="AX112" s="953"/>
      <c r="AY112" s="953"/>
      <c r="AZ112" s="953"/>
      <c r="BA112" s="953"/>
      <c r="BB112" s="953"/>
      <c r="BC112" s="953"/>
      <c r="BD112" s="953"/>
      <c r="BE112" s="953"/>
      <c r="BF112" s="953"/>
      <c r="BG112" s="953"/>
      <c r="BH112" s="953"/>
      <c r="BI112" s="953"/>
      <c r="BJ112" s="953"/>
      <c r="BK112" s="953"/>
      <c r="BL112" s="953"/>
      <c r="BM112" s="953"/>
      <c r="BN112" s="953"/>
      <c r="BO112" s="953"/>
      <c r="BP112" s="953"/>
      <c r="BQ112" s="953"/>
      <c r="BR112" s="953"/>
      <c r="BS112" s="953"/>
      <c r="BT112" s="953"/>
      <c r="BU112" s="953"/>
      <c r="BV112" s="953"/>
      <c r="BW112" s="953"/>
      <c r="BX112" s="953"/>
      <c r="BY112" s="953"/>
      <c r="BZ112" s="953"/>
      <c r="CA112" s="953"/>
      <c r="CB112" s="953"/>
      <c r="CC112" s="953"/>
      <c r="CD112" s="953"/>
      <c r="CE112" s="953"/>
      <c r="CF112" s="953"/>
      <c r="CG112" s="953"/>
      <c r="CH112" s="953"/>
      <c r="CI112" s="953"/>
      <c r="CJ112" s="953"/>
      <c r="CK112" s="953"/>
      <c r="CL112" s="953"/>
      <c r="CM112" s="953"/>
      <c r="CN112" s="953"/>
      <c r="CO112" s="953"/>
      <c r="CP112" s="953"/>
      <c r="CQ112" s="953"/>
      <c r="CR112" s="953"/>
      <c r="CS112" s="953"/>
      <c r="CT112" s="953"/>
      <c r="CU112" s="953"/>
      <c r="CV112" s="953"/>
      <c r="CW112" s="953"/>
      <c r="CX112" s="953"/>
      <c r="CY112" s="953"/>
      <c r="CZ112" s="953"/>
      <c r="DA112" s="953"/>
      <c r="DB112" s="953"/>
      <c r="DC112" s="953"/>
      <c r="DD112" s="953"/>
      <c r="DE112" s="953"/>
      <c r="DF112" s="953"/>
      <c r="DG112" s="953"/>
      <c r="DH112" s="953"/>
      <c r="DI112" s="953"/>
      <c r="DJ112" s="953"/>
      <c r="DK112" s="953"/>
      <c r="DL112" s="953"/>
      <c r="DM112" s="953"/>
      <c r="DN112" s="953"/>
      <c r="DO112" s="953"/>
      <c r="DP112" s="953"/>
      <c r="DQ112" s="953"/>
      <c r="DR112" s="953"/>
      <c r="DS112" s="953"/>
      <c r="DT112" s="953"/>
      <c r="DU112" s="953"/>
      <c r="DV112" s="953"/>
      <c r="DW112" s="953"/>
      <c r="DX112" s="953"/>
      <c r="DY112" s="953"/>
      <c r="DZ112" s="953"/>
      <c r="EA112" s="953"/>
      <c r="EB112" s="953"/>
      <c r="EC112" s="953"/>
      <c r="ED112" s="953"/>
      <c r="EE112" s="953"/>
      <c r="EF112" s="953"/>
      <c r="EG112" s="953"/>
      <c r="EH112" s="953"/>
      <c r="EI112" s="953"/>
      <c r="EJ112" s="953"/>
      <c r="EK112" s="953"/>
      <c r="EL112" s="953"/>
      <c r="EM112" s="953"/>
      <c r="EN112" s="953"/>
      <c r="EO112" s="953"/>
      <c r="EP112" s="953"/>
      <c r="EQ112" s="953"/>
      <c r="ER112" s="953"/>
      <c r="ES112" s="953"/>
      <c r="ET112" s="953"/>
      <c r="EU112" s="953"/>
      <c r="EV112" s="953"/>
      <c r="EW112" s="953"/>
      <c r="EX112" s="953"/>
      <c r="EY112" s="953"/>
      <c r="EZ112" s="953"/>
      <c r="FA112" s="953"/>
      <c r="FB112" s="953"/>
      <c r="FC112" s="953"/>
      <c r="FD112" s="953"/>
      <c r="FE112" s="953"/>
      <c r="FF112" s="953"/>
      <c r="FG112" s="953"/>
      <c r="FH112" s="953"/>
      <c r="FI112" s="953"/>
      <c r="FJ112" s="953"/>
      <c r="FK112" s="953"/>
      <c r="FL112" s="953"/>
      <c r="FM112" s="953"/>
      <c r="FN112" s="953"/>
      <c r="FO112" s="953"/>
      <c r="FP112" s="953"/>
      <c r="FQ112" s="953"/>
      <c r="FR112" s="953"/>
      <c r="FS112" s="953"/>
      <c r="FT112" s="953"/>
      <c r="FU112" s="953"/>
      <c r="FV112" s="953"/>
      <c r="FW112" s="953"/>
      <c r="FX112" s="953"/>
      <c r="FY112" s="953"/>
      <c r="FZ112" s="953"/>
      <c r="GA112" s="953"/>
      <c r="GB112" s="953"/>
      <c r="GC112" s="953"/>
      <c r="GD112" s="953"/>
      <c r="GE112" s="953"/>
      <c r="GF112" s="953"/>
      <c r="GG112" s="953"/>
      <c r="GH112" s="953"/>
      <c r="GI112" s="953"/>
      <c r="GJ112" s="953"/>
      <c r="GK112" s="953"/>
      <c r="GL112" s="953"/>
      <c r="GM112" s="953"/>
      <c r="GN112" s="953"/>
      <c r="GO112" s="953"/>
      <c r="GP112" s="953"/>
    </row>
    <row r="113" spans="1:7" s="932" customFormat="1">
      <c r="A113" s="915"/>
      <c r="B113" s="862"/>
      <c r="C113" s="924"/>
      <c r="D113" s="860"/>
      <c r="E113" s="858"/>
      <c r="F113" s="926"/>
    </row>
    <row r="114" spans="1:7" s="964" customFormat="1">
      <c r="A114" s="1002"/>
      <c r="B114" s="972" t="s">
        <v>1117</v>
      </c>
      <c r="C114" s="901"/>
      <c r="D114" s="899"/>
      <c r="E114" s="899"/>
      <c r="F114" s="962"/>
      <c r="G114" s="963"/>
    </row>
    <row r="115" spans="1:7" s="964" customFormat="1">
      <c r="A115" s="1002"/>
      <c r="B115" s="972"/>
      <c r="C115" s="901"/>
      <c r="D115" s="899"/>
      <c r="E115" s="899"/>
      <c r="F115" s="962"/>
      <c r="G115" s="963"/>
    </row>
    <row r="116" spans="1:7" s="964" customFormat="1">
      <c r="A116" s="1002"/>
      <c r="B116" s="972"/>
      <c r="C116" s="901"/>
      <c r="D116" s="899"/>
      <c r="E116" s="899"/>
      <c r="F116" s="962"/>
      <c r="G116" s="963"/>
    </row>
    <row r="117" spans="1:7" s="964" customFormat="1">
      <c r="A117" s="917" t="s">
        <v>260</v>
      </c>
      <c r="B117" s="911" t="s">
        <v>13</v>
      </c>
      <c r="C117" s="912" t="s">
        <v>330</v>
      </c>
      <c r="D117" s="913" t="s">
        <v>331</v>
      </c>
      <c r="E117" s="914" t="s">
        <v>332</v>
      </c>
      <c r="F117" s="918"/>
      <c r="G117" s="963"/>
    </row>
    <row r="118" spans="1:7" s="964" customFormat="1">
      <c r="A118" s="1002"/>
      <c r="B118" s="899"/>
      <c r="C118" s="899"/>
      <c r="D118" s="899"/>
      <c r="E118" s="899"/>
      <c r="F118" s="973"/>
      <c r="G118" s="963"/>
    </row>
    <row r="119" spans="1:7" s="932" customFormat="1">
      <c r="A119" s="927">
        <v>8.6999999999999993</v>
      </c>
      <c r="B119" s="852" t="s">
        <v>1118</v>
      </c>
      <c r="C119" s="858"/>
      <c r="D119" s="860"/>
      <c r="E119" s="858"/>
      <c r="F119" s="916"/>
    </row>
    <row r="120" spans="1:7" s="932" customFormat="1">
      <c r="A120" s="915"/>
      <c r="B120" s="865" t="s">
        <v>299</v>
      </c>
      <c r="C120" s="858"/>
      <c r="D120" s="860"/>
      <c r="E120" s="858"/>
      <c r="F120" s="916"/>
    </row>
    <row r="121" spans="1:7" s="932" customFormat="1">
      <c r="A121" s="915"/>
      <c r="B121" s="865" t="s">
        <v>1119</v>
      </c>
      <c r="C121" s="858"/>
      <c r="D121" s="860"/>
      <c r="E121" s="858"/>
      <c r="F121" s="916"/>
    </row>
    <row r="122" spans="1:7" s="932" customFormat="1">
      <c r="A122" s="915" t="s">
        <v>1365</v>
      </c>
      <c r="B122" s="863" t="s">
        <v>300</v>
      </c>
      <c r="C122" s="858" t="s">
        <v>8</v>
      </c>
      <c r="D122" s="860">
        <f>CEILING((51)*2,1)</f>
        <v>102</v>
      </c>
      <c r="E122" s="858"/>
      <c r="F122" s="916"/>
    </row>
    <row r="123" spans="1:7" s="932" customFormat="1">
      <c r="A123" s="915"/>
      <c r="B123" s="865" t="s">
        <v>1120</v>
      </c>
      <c r="C123" s="858"/>
      <c r="D123" s="860"/>
      <c r="E123" s="858"/>
      <c r="F123" s="916"/>
    </row>
    <row r="124" spans="1:7" s="932" customFormat="1">
      <c r="A124" s="915" t="s">
        <v>1366</v>
      </c>
      <c r="B124" s="863" t="s">
        <v>1121</v>
      </c>
      <c r="C124" s="858" t="s">
        <v>8</v>
      </c>
      <c r="D124" s="860">
        <f>CEILING((49.4+7.5+5)*2,1)</f>
        <v>124</v>
      </c>
      <c r="E124" s="858"/>
      <c r="F124" s="916"/>
    </row>
    <row r="125" spans="1:7" s="932" customFormat="1">
      <c r="A125" s="915" t="s">
        <v>1367</v>
      </c>
      <c r="B125" s="863" t="s">
        <v>1752</v>
      </c>
      <c r="C125" s="858" t="s">
        <v>1753</v>
      </c>
      <c r="D125" s="860">
        <f>D42/0.15</f>
        <v>140</v>
      </c>
      <c r="E125" s="858"/>
      <c r="F125" s="916"/>
      <c r="G125" s="932">
        <f>(17.4+3.8)</f>
        <v>21.2</v>
      </c>
    </row>
    <row r="126" spans="1:7" s="1071" customFormat="1">
      <c r="A126" s="1068"/>
      <c r="B126" s="1062"/>
      <c r="C126" s="1069"/>
      <c r="D126" s="1064"/>
      <c r="E126" s="1069"/>
      <c r="F126" s="1070"/>
    </row>
    <row r="127" spans="1:7" s="932" customFormat="1">
      <c r="A127" s="915"/>
      <c r="B127" s="852" t="s">
        <v>301</v>
      </c>
      <c r="C127" s="858"/>
      <c r="D127" s="860"/>
      <c r="E127" s="858"/>
      <c r="F127" s="916"/>
    </row>
    <row r="128" spans="1:7" s="932" customFormat="1">
      <c r="A128" s="915"/>
      <c r="B128" s="865" t="s">
        <v>302</v>
      </c>
      <c r="C128" s="858"/>
      <c r="D128" s="860"/>
      <c r="E128" s="858"/>
      <c r="F128" s="916"/>
    </row>
    <row r="129" spans="1:7" s="932" customFormat="1">
      <c r="A129" s="915" t="s">
        <v>1367</v>
      </c>
      <c r="B129" s="863" t="s">
        <v>1122</v>
      </c>
      <c r="C129" s="858" t="s">
        <v>8</v>
      </c>
      <c r="D129" s="860">
        <f>D125</f>
        <v>140</v>
      </c>
      <c r="E129" s="858"/>
      <c r="F129" s="916"/>
    </row>
    <row r="130" spans="1:7" s="932" customFormat="1">
      <c r="A130" s="915" t="s">
        <v>1368</v>
      </c>
      <c r="B130" s="863" t="s">
        <v>1123</v>
      </c>
      <c r="C130" s="858" t="s">
        <v>9</v>
      </c>
      <c r="D130" s="860">
        <f>CEILING(D124/2,1)</f>
        <v>62</v>
      </c>
      <c r="E130" s="858"/>
      <c r="F130" s="916"/>
    </row>
    <row r="131" spans="1:7" s="1071" customFormat="1">
      <c r="A131" s="1068"/>
      <c r="B131" s="1062"/>
      <c r="C131" s="1069"/>
      <c r="D131" s="1064"/>
      <c r="E131" s="1069"/>
      <c r="F131" s="1070"/>
    </row>
    <row r="132" spans="1:7" s="932" customFormat="1">
      <c r="A132" s="915"/>
      <c r="B132" s="852" t="s">
        <v>303</v>
      </c>
      <c r="C132" s="858"/>
      <c r="D132" s="860"/>
      <c r="E132" s="858"/>
      <c r="F132" s="916"/>
    </row>
    <row r="133" spans="1:7" s="932" customFormat="1">
      <c r="A133" s="915"/>
      <c r="B133" s="852" t="s">
        <v>1129</v>
      </c>
      <c r="C133" s="858"/>
      <c r="D133" s="860"/>
      <c r="E133" s="858"/>
      <c r="F133" s="916"/>
    </row>
    <row r="134" spans="1:7" s="932" customFormat="1">
      <c r="A134" s="915"/>
      <c r="B134" s="852" t="s">
        <v>1130</v>
      </c>
      <c r="C134" s="858"/>
      <c r="D134" s="860"/>
      <c r="E134" s="858"/>
      <c r="F134" s="916"/>
    </row>
    <row r="135" spans="1:7" s="932" customFormat="1">
      <c r="A135" s="915" t="s">
        <v>1369</v>
      </c>
      <c r="B135" s="863" t="s">
        <v>1131</v>
      </c>
      <c r="C135" s="858" t="s">
        <v>8</v>
      </c>
      <c r="D135" s="860">
        <f>D122</f>
        <v>102</v>
      </c>
      <c r="E135" s="858"/>
      <c r="F135" s="916"/>
    </row>
    <row r="136" spans="1:7" s="932" customFormat="1">
      <c r="A136" s="915"/>
      <c r="B136" s="852" t="s">
        <v>1132</v>
      </c>
      <c r="C136" s="858"/>
      <c r="D136" s="860"/>
      <c r="E136" s="858"/>
      <c r="F136" s="916"/>
    </row>
    <row r="137" spans="1:7" s="932" customFormat="1">
      <c r="A137" s="915"/>
      <c r="B137" s="852" t="s">
        <v>1133</v>
      </c>
      <c r="C137" s="858"/>
      <c r="D137" s="860"/>
      <c r="E137" s="858"/>
      <c r="F137" s="916"/>
    </row>
    <row r="138" spans="1:7" s="932" customFormat="1">
      <c r="A138" s="915" t="s">
        <v>1370</v>
      </c>
      <c r="B138" s="863" t="s">
        <v>1134</v>
      </c>
      <c r="C138" s="858" t="s">
        <v>8</v>
      </c>
      <c r="D138" s="860">
        <f>D124</f>
        <v>124</v>
      </c>
      <c r="E138" s="858"/>
      <c r="F138" s="916"/>
    </row>
    <row r="139" spans="1:7" s="1074" customFormat="1">
      <c r="A139" s="1072" t="s">
        <v>1754</v>
      </c>
      <c r="B139" s="1062" t="s">
        <v>1755</v>
      </c>
      <c r="C139" s="1069" t="s">
        <v>1753</v>
      </c>
      <c r="D139" s="1064">
        <f>D125</f>
        <v>140</v>
      </c>
      <c r="E139" s="1069"/>
      <c r="F139" s="916"/>
    </row>
    <row r="140" spans="1:7" s="1074" customFormat="1">
      <c r="A140" s="1072"/>
      <c r="B140" s="972" t="s">
        <v>1203</v>
      </c>
      <c r="C140" s="899"/>
      <c r="D140" s="899"/>
      <c r="E140" s="899"/>
      <c r="F140" s="974"/>
    </row>
    <row r="141" spans="1:7" s="1074" customFormat="1">
      <c r="A141" s="1072"/>
      <c r="B141" s="1062"/>
      <c r="C141" s="1069"/>
      <c r="D141" s="1064"/>
      <c r="E141" s="1069"/>
      <c r="F141" s="1073"/>
    </row>
    <row r="142" spans="1:7" s="504" customFormat="1">
      <c r="A142" s="422">
        <v>8.8000000000000007</v>
      </c>
      <c r="B142" s="212" t="s">
        <v>1379</v>
      </c>
      <c r="C142" s="213"/>
      <c r="D142" s="214"/>
      <c r="E142" s="215"/>
      <c r="F142" s="216"/>
      <c r="G142" s="62"/>
    </row>
    <row r="143" spans="1:7" s="504" customFormat="1" ht="15.6">
      <c r="A143" s="421" t="s">
        <v>1351</v>
      </c>
      <c r="B143" s="230" t="s">
        <v>711</v>
      </c>
      <c r="C143" s="213" t="s">
        <v>329</v>
      </c>
      <c r="D143" s="214" t="s">
        <v>468</v>
      </c>
      <c r="E143" s="215"/>
      <c r="F143" s="190"/>
      <c r="G143" s="62"/>
    </row>
    <row r="144" spans="1:7" s="504" customFormat="1" ht="72">
      <c r="A144" s="426"/>
      <c r="B144" s="427" t="s">
        <v>788</v>
      </c>
      <c r="C144" s="205" t="s">
        <v>633</v>
      </c>
      <c r="D144" s="151">
        <v>2</v>
      </c>
      <c r="E144" s="152"/>
      <c r="F144" s="190"/>
      <c r="G144" s="62"/>
    </row>
    <row r="145" spans="1:7" s="504" customFormat="1" ht="28.8">
      <c r="A145" s="426"/>
      <c r="B145" s="427" t="s">
        <v>1380</v>
      </c>
      <c r="C145" s="205" t="s">
        <v>633</v>
      </c>
      <c r="D145" s="151">
        <v>1</v>
      </c>
      <c r="E145" s="428"/>
      <c r="F145" s="190"/>
      <c r="G145" s="62"/>
    </row>
    <row r="146" spans="1:7" s="150" customFormat="1">
      <c r="A146" s="229"/>
      <c r="B146" s="229" t="s">
        <v>509</v>
      </c>
      <c r="C146" s="230"/>
      <c r="D146" s="230"/>
      <c r="E146" s="230"/>
      <c r="F146" s="231"/>
      <c r="G146" s="222"/>
    </row>
    <row r="147" spans="1:7" s="504" customFormat="1" ht="28.8">
      <c r="A147" s="230" t="s">
        <v>1352</v>
      </c>
      <c r="B147" s="230" t="s">
        <v>1381</v>
      </c>
      <c r="C147" s="230" t="s">
        <v>8</v>
      </c>
      <c r="D147" s="230">
        <f>CEILING(9*0.8,1)</f>
        <v>8</v>
      </c>
      <c r="E147" s="230"/>
      <c r="F147" s="231"/>
      <c r="G147" s="62"/>
    </row>
    <row r="148" spans="1:7" s="504" customFormat="1">
      <c r="A148" s="230" t="s">
        <v>1353</v>
      </c>
      <c r="B148" s="230" t="s">
        <v>511</v>
      </c>
      <c r="C148" s="230" t="s">
        <v>8</v>
      </c>
      <c r="D148" s="230">
        <f>CEILING(0.8*9.5,1)</f>
        <v>8</v>
      </c>
      <c r="E148" s="230"/>
      <c r="F148" s="231"/>
      <c r="G148" s="62"/>
    </row>
    <row r="149" spans="1:7" s="504" customFormat="1" ht="28.8">
      <c r="A149" s="230" t="s">
        <v>1354</v>
      </c>
      <c r="B149" s="230" t="s">
        <v>512</v>
      </c>
      <c r="C149" s="230" t="s">
        <v>8</v>
      </c>
      <c r="D149" s="230">
        <f>D148</f>
        <v>8</v>
      </c>
      <c r="E149" s="230"/>
      <c r="F149" s="231"/>
      <c r="G149" s="62"/>
    </row>
    <row r="150" spans="1:7" s="150" customFormat="1">
      <c r="A150" s="230" t="s">
        <v>1355</v>
      </c>
      <c r="B150" s="230" t="s">
        <v>513</v>
      </c>
      <c r="C150" s="230" t="s">
        <v>8</v>
      </c>
      <c r="D150" s="230">
        <f>D149</f>
        <v>8</v>
      </c>
      <c r="E150" s="230"/>
      <c r="F150" s="231"/>
      <c r="G150" s="222"/>
    </row>
    <row r="151" spans="1:7" s="504" customFormat="1" ht="16.5" customHeight="1">
      <c r="A151" s="230" t="s">
        <v>1356</v>
      </c>
      <c r="B151" s="230" t="s">
        <v>514</v>
      </c>
      <c r="C151" s="230" t="s">
        <v>9</v>
      </c>
      <c r="D151" s="230">
        <f>CEILING(0.8+6.5+0.8+3,1)</f>
        <v>12</v>
      </c>
      <c r="E151" s="230"/>
      <c r="F151" s="231"/>
      <c r="G151" s="62"/>
    </row>
    <row r="152" spans="1:7" s="504" customFormat="1">
      <c r="A152" s="230" t="s">
        <v>1357</v>
      </c>
      <c r="B152" s="230" t="s">
        <v>515</v>
      </c>
      <c r="C152" s="230" t="s">
        <v>8</v>
      </c>
      <c r="D152" s="230">
        <f>D150*2</f>
        <v>16</v>
      </c>
      <c r="E152" s="230"/>
      <c r="F152" s="231"/>
      <c r="G152" s="62"/>
    </row>
    <row r="153" spans="1:7" s="504" customFormat="1">
      <c r="A153" s="230" t="s">
        <v>1358</v>
      </c>
      <c r="B153" s="230" t="s">
        <v>516</v>
      </c>
      <c r="C153" s="230" t="s">
        <v>8</v>
      </c>
      <c r="D153" s="230">
        <f>D149</f>
        <v>8</v>
      </c>
      <c r="E153" s="230"/>
      <c r="F153" s="231"/>
      <c r="G153" s="62"/>
    </row>
    <row r="154" spans="1:7" s="504" customFormat="1">
      <c r="A154" s="230" t="s">
        <v>1359</v>
      </c>
      <c r="B154" s="230" t="s">
        <v>517</v>
      </c>
      <c r="C154" s="230" t="s">
        <v>8</v>
      </c>
      <c r="D154" s="230">
        <f>CEILING(9*0.8,1)</f>
        <v>8</v>
      </c>
      <c r="E154" s="230"/>
      <c r="F154" s="231"/>
      <c r="G154" s="62"/>
    </row>
    <row r="155" spans="1:7" s="504" customFormat="1">
      <c r="A155" s="230" t="s">
        <v>1382</v>
      </c>
      <c r="B155" s="230" t="s">
        <v>518</v>
      </c>
      <c r="C155" s="230" t="s">
        <v>519</v>
      </c>
      <c r="D155" s="230">
        <v>25</v>
      </c>
      <c r="E155" s="230"/>
      <c r="F155" s="231"/>
      <c r="G155" s="62"/>
    </row>
    <row r="156" spans="1:7" s="504" customFormat="1">
      <c r="A156" s="230" t="s">
        <v>1383</v>
      </c>
      <c r="B156" s="230" t="s">
        <v>520</v>
      </c>
      <c r="C156" s="230" t="s">
        <v>469</v>
      </c>
      <c r="D156" s="230" t="s">
        <v>468</v>
      </c>
      <c r="E156" s="230"/>
      <c r="F156" s="231"/>
      <c r="G156" s="62"/>
    </row>
    <row r="157" spans="1:7" s="504" customFormat="1" ht="28.8">
      <c r="A157" s="230" t="s">
        <v>1384</v>
      </c>
      <c r="B157" s="230" t="s">
        <v>1386</v>
      </c>
      <c r="C157" s="230"/>
      <c r="D157" s="230"/>
      <c r="E157" s="230"/>
      <c r="F157" s="231"/>
      <c r="G157" s="62"/>
    </row>
    <row r="158" spans="1:7" s="504" customFormat="1">
      <c r="A158" s="230"/>
      <c r="B158" s="230"/>
      <c r="C158" s="230"/>
      <c r="D158" s="230"/>
      <c r="E158" s="230"/>
      <c r="F158" s="231"/>
      <c r="G158" s="62"/>
    </row>
    <row r="159" spans="1:7" s="504" customFormat="1">
      <c r="A159" s="229"/>
      <c r="B159" s="229" t="s">
        <v>522</v>
      </c>
      <c r="C159" s="230"/>
      <c r="D159" s="230"/>
      <c r="E159" s="230"/>
      <c r="F159" s="231"/>
      <c r="G159" s="62"/>
    </row>
    <row r="160" spans="1:7" s="504" customFormat="1" ht="28.8">
      <c r="A160" s="230" t="s">
        <v>1385</v>
      </c>
      <c r="B160" s="230" t="s">
        <v>523</v>
      </c>
      <c r="C160" s="230" t="s">
        <v>8</v>
      </c>
      <c r="D160" s="230">
        <v>30</v>
      </c>
      <c r="E160" s="230"/>
      <c r="F160" s="231"/>
      <c r="G160" s="62"/>
    </row>
    <row r="161" spans="1:7" s="504" customFormat="1">
      <c r="A161" s="230" t="s">
        <v>1387</v>
      </c>
      <c r="B161" s="230" t="s">
        <v>524</v>
      </c>
      <c r="C161" s="230" t="s">
        <v>519</v>
      </c>
      <c r="D161" s="230">
        <v>15</v>
      </c>
      <c r="E161" s="230"/>
      <c r="F161" s="231"/>
      <c r="G161" s="62"/>
    </row>
    <row r="162" spans="1:7" s="504" customFormat="1">
      <c r="A162" s="230" t="s">
        <v>1388</v>
      </c>
      <c r="B162" s="230" t="s">
        <v>521</v>
      </c>
      <c r="C162" s="230" t="s">
        <v>8</v>
      </c>
      <c r="D162" s="230">
        <v>30</v>
      </c>
      <c r="E162" s="230"/>
      <c r="F162" s="231"/>
      <c r="G162" s="62"/>
    </row>
    <row r="163" spans="1:7" s="504" customFormat="1">
      <c r="A163" s="422"/>
      <c r="B163" s="218" t="s">
        <v>695</v>
      </c>
      <c r="C163" s="219"/>
      <c r="D163" s="220"/>
      <c r="E163" s="221"/>
      <c r="F163" s="216"/>
      <c r="G163" s="62"/>
    </row>
    <row r="164" spans="1:7" s="504" customFormat="1">
      <c r="A164" s="421"/>
      <c r="B164" s="217"/>
      <c r="C164" s="213"/>
      <c r="D164" s="214"/>
      <c r="E164" s="215"/>
      <c r="F164" s="216"/>
      <c r="G164" s="62"/>
    </row>
    <row r="165" spans="1:7" s="504" customFormat="1">
      <c r="A165" s="422">
        <v>8.9</v>
      </c>
      <c r="B165" s="212" t="s">
        <v>1389</v>
      </c>
      <c r="C165" s="213"/>
      <c r="D165" s="214"/>
      <c r="E165" s="215"/>
      <c r="F165" s="216"/>
      <c r="G165" s="62"/>
    </row>
    <row r="166" spans="1:7" s="504" customFormat="1" ht="28.8">
      <c r="A166" s="421" t="s">
        <v>1360</v>
      </c>
      <c r="B166" s="223" t="s">
        <v>1295</v>
      </c>
      <c r="C166" s="213" t="s">
        <v>10</v>
      </c>
      <c r="D166" s="214">
        <v>3</v>
      </c>
      <c r="E166" s="215"/>
      <c r="F166" s="429"/>
      <c r="G166" s="62"/>
    </row>
    <row r="167" spans="1:7" s="504" customFormat="1">
      <c r="A167" s="422"/>
      <c r="B167" s="224" t="s">
        <v>696</v>
      </c>
      <c r="C167" s="219"/>
      <c r="D167" s="220"/>
      <c r="E167" s="221"/>
      <c r="F167" s="216"/>
      <c r="G167" s="62"/>
    </row>
    <row r="168" spans="1:7" s="872" customFormat="1">
      <c r="A168" s="917" t="s">
        <v>260</v>
      </c>
      <c r="B168" s="911" t="s">
        <v>13</v>
      </c>
      <c r="C168" s="912" t="s">
        <v>330</v>
      </c>
      <c r="D168" s="913" t="s">
        <v>331</v>
      </c>
      <c r="E168" s="914" t="s">
        <v>332</v>
      </c>
      <c r="F168" s="918"/>
      <c r="G168" s="871"/>
    </row>
    <row r="169" spans="1:7" s="938" customFormat="1">
      <c r="A169" s="1003"/>
      <c r="B169" s="879"/>
      <c r="C169" s="880"/>
      <c r="D169" s="875"/>
      <c r="E169" s="874"/>
      <c r="F169" s="881"/>
      <c r="G169" s="937"/>
    </row>
    <row r="170" spans="1:7" s="938" customFormat="1">
      <c r="A170" s="1075" t="s">
        <v>1361</v>
      </c>
      <c r="B170" s="873" t="s">
        <v>1401</v>
      </c>
      <c r="C170" s="874"/>
      <c r="D170" s="875"/>
      <c r="E170" s="874"/>
      <c r="F170" s="876"/>
      <c r="G170" s="937"/>
    </row>
    <row r="171" spans="1:7" s="977" customFormat="1">
      <c r="A171" s="1004"/>
      <c r="B171" s="873" t="s">
        <v>310</v>
      </c>
      <c r="C171" s="877"/>
      <c r="D171" s="878"/>
      <c r="E171" s="877"/>
      <c r="F171" s="876"/>
      <c r="G171" s="976"/>
    </row>
    <row r="172" spans="1:7" s="970" customFormat="1" ht="43.2">
      <c r="A172" s="1003"/>
      <c r="B172" s="879" t="s">
        <v>467</v>
      </c>
      <c r="C172" s="880"/>
      <c r="D172" s="875"/>
      <c r="E172" s="874"/>
      <c r="F172" s="881"/>
      <c r="G172" s="969"/>
    </row>
    <row r="173" spans="1:7" s="970" customFormat="1">
      <c r="A173" s="1003" t="s">
        <v>1362</v>
      </c>
      <c r="B173" s="882" t="s">
        <v>704</v>
      </c>
      <c r="C173" s="880" t="s">
        <v>10</v>
      </c>
      <c r="D173" s="875">
        <v>13</v>
      </c>
      <c r="E173" s="874"/>
      <c r="F173" s="881"/>
      <c r="G173" s="969"/>
    </row>
    <row r="174" spans="1:7" s="970" customFormat="1">
      <c r="A174" s="1003"/>
      <c r="B174" s="883" t="s">
        <v>311</v>
      </c>
      <c r="C174" s="880"/>
      <c r="D174" s="875"/>
      <c r="E174" s="874"/>
      <c r="F174" s="881"/>
      <c r="G174" s="969"/>
    </row>
    <row r="175" spans="1:7" s="970" customFormat="1">
      <c r="A175" s="1003" t="s">
        <v>1390</v>
      </c>
      <c r="B175" s="882" t="s">
        <v>312</v>
      </c>
      <c r="C175" s="880" t="s">
        <v>304</v>
      </c>
      <c r="D175" s="875">
        <f>D173</f>
        <v>13</v>
      </c>
      <c r="E175" s="874"/>
      <c r="F175" s="881"/>
      <c r="G175" s="969"/>
    </row>
    <row r="176" spans="1:7" s="970" customFormat="1">
      <c r="A176" s="1003"/>
      <c r="B176" s="873" t="s">
        <v>313</v>
      </c>
      <c r="C176" s="874"/>
      <c r="D176" s="875"/>
      <c r="E176" s="874"/>
      <c r="F176" s="881"/>
      <c r="G176" s="969"/>
    </row>
    <row r="177" spans="1:7" s="970" customFormat="1" ht="86.4">
      <c r="A177" s="1003"/>
      <c r="B177" s="978" t="s">
        <v>631</v>
      </c>
      <c r="C177" s="880"/>
      <c r="D177" s="875"/>
      <c r="E177" s="874"/>
      <c r="F177" s="881"/>
      <c r="G177" s="969"/>
    </row>
    <row r="178" spans="1:7" s="970" customFormat="1">
      <c r="A178" s="1003"/>
      <c r="B178" s="884" t="s">
        <v>314</v>
      </c>
      <c r="C178" s="880"/>
      <c r="D178" s="875"/>
      <c r="E178" s="874"/>
      <c r="F178" s="881"/>
      <c r="G178" s="969"/>
    </row>
    <row r="179" spans="1:7" s="970" customFormat="1">
      <c r="A179" s="1003" t="s">
        <v>1391</v>
      </c>
      <c r="B179" s="884" t="s">
        <v>315</v>
      </c>
      <c r="C179" s="880" t="s">
        <v>304</v>
      </c>
      <c r="D179" s="875">
        <v>10</v>
      </c>
      <c r="E179" s="874"/>
      <c r="F179" s="881"/>
      <c r="G179" s="969"/>
    </row>
    <row r="180" spans="1:7" s="970" customFormat="1">
      <c r="A180" s="1003"/>
      <c r="B180" s="883" t="s">
        <v>316</v>
      </c>
      <c r="C180" s="874"/>
      <c r="D180" s="875"/>
      <c r="E180" s="874"/>
      <c r="F180" s="881"/>
      <c r="G180" s="969"/>
    </row>
    <row r="181" spans="1:7" s="970" customFormat="1" ht="57.6">
      <c r="A181" s="1003"/>
      <c r="B181" s="882" t="s">
        <v>705</v>
      </c>
      <c r="C181" s="880"/>
      <c r="D181" s="875"/>
      <c r="E181" s="874"/>
      <c r="F181" s="881"/>
      <c r="G181" s="969"/>
    </row>
    <row r="182" spans="1:7" s="970" customFormat="1">
      <c r="A182" s="1003" t="s">
        <v>1392</v>
      </c>
      <c r="B182" s="884" t="s">
        <v>317</v>
      </c>
      <c r="C182" s="880" t="s">
        <v>318</v>
      </c>
      <c r="D182" s="875">
        <f>CEILING(55*3,1)</f>
        <v>165</v>
      </c>
      <c r="E182" s="874"/>
      <c r="F182" s="881"/>
      <c r="G182" s="969"/>
    </row>
    <row r="183" spans="1:7" s="970" customFormat="1" ht="28.8">
      <c r="A183" s="939"/>
      <c r="B183" s="885" t="s">
        <v>706</v>
      </c>
      <c r="C183" s="886"/>
      <c r="D183" s="875"/>
      <c r="E183" s="874"/>
      <c r="F183" s="881"/>
      <c r="G183" s="969"/>
    </row>
    <row r="184" spans="1:7" s="970" customFormat="1">
      <c r="A184" s="939" t="s">
        <v>1393</v>
      </c>
      <c r="B184" s="887" t="s">
        <v>319</v>
      </c>
      <c r="C184" s="886" t="s">
        <v>320</v>
      </c>
      <c r="D184" s="875">
        <v>10</v>
      </c>
      <c r="E184" s="874"/>
      <c r="F184" s="881"/>
      <c r="G184" s="969"/>
    </row>
    <row r="185" spans="1:7" s="970" customFormat="1" ht="28.8">
      <c r="A185" s="939"/>
      <c r="B185" s="888" t="s">
        <v>707</v>
      </c>
      <c r="C185" s="880"/>
      <c r="D185" s="875"/>
      <c r="E185" s="874"/>
      <c r="F185" s="881"/>
      <c r="G185" s="969"/>
    </row>
    <row r="186" spans="1:7" s="970" customFormat="1" ht="57.6">
      <c r="A186" s="939" t="s">
        <v>1394</v>
      </c>
      <c r="B186" s="884" t="s">
        <v>632</v>
      </c>
      <c r="C186" s="886" t="s">
        <v>633</v>
      </c>
      <c r="D186" s="875">
        <v>4</v>
      </c>
      <c r="E186" s="874"/>
      <c r="F186" s="881"/>
      <c r="G186" s="969"/>
    </row>
    <row r="187" spans="1:7" s="970" customFormat="1">
      <c r="A187" s="939"/>
      <c r="B187" s="887"/>
      <c r="C187" s="886"/>
      <c r="D187" s="875"/>
      <c r="E187" s="874"/>
      <c r="F187" s="881"/>
      <c r="G187" s="969"/>
    </row>
    <row r="188" spans="1:7" s="940" customFormat="1">
      <c r="A188" s="933"/>
      <c r="B188" s="890" t="s">
        <v>694</v>
      </c>
      <c r="C188" s="889"/>
      <c r="D188" s="878"/>
      <c r="E188" s="877"/>
      <c r="F188" s="891"/>
      <c r="G188" s="976"/>
    </row>
    <row r="189" spans="1:7" s="940" customFormat="1">
      <c r="A189" s="933"/>
      <c r="B189" s="890"/>
      <c r="C189" s="889"/>
      <c r="D189" s="878"/>
      <c r="E189" s="877"/>
      <c r="F189" s="891"/>
      <c r="G189" s="976"/>
    </row>
    <row r="190" spans="1:7" s="940" customFormat="1">
      <c r="A190" s="917" t="s">
        <v>260</v>
      </c>
      <c r="B190" s="911" t="s">
        <v>13</v>
      </c>
      <c r="C190" s="912" t="s">
        <v>330</v>
      </c>
      <c r="D190" s="913" t="s">
        <v>331</v>
      </c>
      <c r="E190" s="914" t="s">
        <v>332</v>
      </c>
      <c r="F190" s="918"/>
      <c r="G190" s="976"/>
    </row>
    <row r="191" spans="1:7">
      <c r="A191" s="939"/>
      <c r="B191" s="885"/>
      <c r="C191" s="874"/>
      <c r="D191" s="880"/>
      <c r="E191" s="875"/>
      <c r="F191" s="892"/>
      <c r="G191" s="980"/>
    </row>
    <row r="192" spans="1:7">
      <c r="A192" s="933">
        <v>8.11</v>
      </c>
      <c r="B192" s="885" t="s">
        <v>1402</v>
      </c>
      <c r="C192" s="874"/>
      <c r="D192" s="880"/>
      <c r="E192" s="875"/>
      <c r="F192" s="892"/>
      <c r="G192" s="980"/>
    </row>
    <row r="193" spans="1:7">
      <c r="A193" s="939" t="s">
        <v>1363</v>
      </c>
      <c r="B193" s="887" t="s">
        <v>486</v>
      </c>
      <c r="C193" s="874" t="s">
        <v>329</v>
      </c>
      <c r="D193" s="880" t="s">
        <v>468</v>
      </c>
      <c r="E193" s="875"/>
      <c r="F193" s="881"/>
      <c r="G193" s="980"/>
    </row>
    <row r="194" spans="1:7" s="1052" customFormat="1">
      <c r="A194" s="1058"/>
      <c r="B194" s="1056"/>
      <c r="C194" s="1047"/>
      <c r="D194" s="1048"/>
      <c r="E194" s="1049"/>
      <c r="F194" s="1059"/>
      <c r="G194" s="1051"/>
    </row>
    <row r="195" spans="1:7" s="982" customFormat="1">
      <c r="A195" s="933"/>
      <c r="B195" s="890" t="s">
        <v>695</v>
      </c>
      <c r="C195" s="877"/>
      <c r="D195" s="893"/>
      <c r="E195" s="878"/>
      <c r="F195" s="892"/>
      <c r="G195" s="981"/>
    </row>
    <row r="196" spans="1:7" s="1044" customFormat="1">
      <c r="A196" s="1042"/>
      <c r="B196" s="1037"/>
      <c r="C196" s="1038"/>
      <c r="D196" s="1039"/>
      <c r="E196" s="1040"/>
      <c r="F196" s="1041"/>
      <c r="G196" s="1043"/>
    </row>
    <row r="197" spans="1:7" s="1044" customFormat="1">
      <c r="A197" s="1057" t="s">
        <v>1400</v>
      </c>
      <c r="B197" s="885" t="s">
        <v>1756</v>
      </c>
      <c r="C197" s="887"/>
      <c r="D197" s="887"/>
      <c r="E197" s="887"/>
      <c r="F197" s="887"/>
      <c r="G197" s="1043"/>
    </row>
    <row r="198" spans="1:7" s="1044" customFormat="1" ht="43.2">
      <c r="A198" s="887" t="s">
        <v>1364</v>
      </c>
      <c r="B198" s="887" t="s">
        <v>1080</v>
      </c>
      <c r="C198" s="887" t="s">
        <v>925</v>
      </c>
      <c r="D198" s="887">
        <f>5*2</f>
        <v>10</v>
      </c>
      <c r="E198" s="887"/>
      <c r="F198" s="881"/>
      <c r="G198" s="1043"/>
    </row>
    <row r="199" spans="1:7" s="1044" customFormat="1">
      <c r="A199" s="1056"/>
      <c r="B199" s="1056"/>
      <c r="C199" s="1056"/>
      <c r="D199" s="1056"/>
      <c r="E199" s="1056"/>
      <c r="F199" s="1056"/>
      <c r="G199" s="1043"/>
    </row>
    <row r="200" spans="1:7" s="1044" customFormat="1">
      <c r="A200" s="1056"/>
      <c r="B200" s="224" t="s">
        <v>696</v>
      </c>
      <c r="C200" s="219"/>
      <c r="D200" s="220"/>
      <c r="E200" s="221"/>
      <c r="F200" s="216"/>
      <c r="G200" s="1043"/>
    </row>
    <row r="201" spans="1:7" s="1044" customFormat="1">
      <c r="A201" s="1056"/>
      <c r="B201" s="1056"/>
      <c r="C201" s="1056"/>
      <c r="D201" s="1056"/>
      <c r="E201" s="1056"/>
      <c r="F201" s="1056"/>
      <c r="G201" s="1043"/>
    </row>
    <row r="202" spans="1:7" s="1044" customFormat="1">
      <c r="A202" s="1056"/>
      <c r="B202" s="1056"/>
      <c r="C202" s="1056"/>
      <c r="D202" s="1056"/>
      <c r="E202" s="1056"/>
      <c r="F202" s="1056"/>
      <c r="G202" s="1043"/>
    </row>
    <row r="203" spans="1:7" ht="16.5" customHeight="1">
      <c r="A203" s="422">
        <v>8.1300000000000008</v>
      </c>
      <c r="B203" s="212" t="s">
        <v>1403</v>
      </c>
      <c r="C203" s="213"/>
      <c r="D203" s="214"/>
      <c r="E203" s="215"/>
      <c r="F203" s="216"/>
      <c r="G203" s="980"/>
    </row>
    <row r="204" spans="1:7" ht="28.8">
      <c r="A204" s="421" t="s">
        <v>1399</v>
      </c>
      <c r="B204" s="223" t="s">
        <v>1295</v>
      </c>
      <c r="C204" s="213" t="s">
        <v>10</v>
      </c>
      <c r="D204" s="214">
        <v>2</v>
      </c>
      <c r="E204" s="215"/>
      <c r="F204" s="429"/>
      <c r="G204" s="980"/>
    </row>
    <row r="205" spans="1:7">
      <c r="A205" s="1045"/>
      <c r="B205" s="1046"/>
      <c r="C205" s="1047"/>
      <c r="D205" s="1048"/>
      <c r="E205" s="1049"/>
      <c r="F205" s="1050"/>
      <c r="G205" s="980"/>
    </row>
    <row r="206" spans="1:7">
      <c r="A206" s="422"/>
      <c r="B206" s="224" t="s">
        <v>696</v>
      </c>
      <c r="C206" s="219"/>
      <c r="D206" s="220"/>
      <c r="E206" s="221"/>
      <c r="F206" s="216"/>
      <c r="G206" s="980"/>
    </row>
    <row r="207" spans="1:7">
      <c r="A207" s="939"/>
      <c r="B207" s="894"/>
      <c r="C207" s="874"/>
      <c r="D207" s="880"/>
      <c r="E207" s="875"/>
      <c r="F207" s="892"/>
      <c r="G207" s="980"/>
    </row>
    <row r="208" spans="1:7">
      <c r="A208" s="1006">
        <v>8.14</v>
      </c>
      <c r="B208" s="885" t="s">
        <v>1404</v>
      </c>
      <c r="C208" s="896"/>
      <c r="D208" s="897"/>
      <c r="E208" s="897"/>
      <c r="F208" s="898"/>
      <c r="G208" s="980"/>
    </row>
    <row r="209" spans="1:7">
      <c r="A209" s="1007" t="s">
        <v>1395</v>
      </c>
      <c r="B209" s="887" t="s">
        <v>487</v>
      </c>
      <c r="C209" s="896" t="s">
        <v>350</v>
      </c>
      <c r="D209" s="897">
        <v>11</v>
      </c>
      <c r="E209" s="897"/>
      <c r="F209" s="898"/>
      <c r="G209" s="980"/>
    </row>
    <row r="210" spans="1:7">
      <c r="A210" s="1007" t="s">
        <v>1396</v>
      </c>
      <c r="B210" s="887" t="s">
        <v>708</v>
      </c>
      <c r="C210" s="896" t="s">
        <v>350</v>
      </c>
      <c r="D210" s="897">
        <v>7</v>
      </c>
      <c r="E210" s="897"/>
      <c r="F210" s="898"/>
      <c r="G210" s="980"/>
    </row>
    <row r="211" spans="1:7">
      <c r="A211" s="1007" t="s">
        <v>1397</v>
      </c>
      <c r="B211" s="887" t="s">
        <v>411</v>
      </c>
      <c r="C211" s="896" t="s">
        <v>352</v>
      </c>
      <c r="D211" s="897">
        <v>4</v>
      </c>
      <c r="E211" s="897"/>
      <c r="F211" s="898"/>
      <c r="G211" s="980"/>
    </row>
    <row r="212" spans="1:7">
      <c r="A212" s="1007" t="s">
        <v>1398</v>
      </c>
      <c r="B212" s="887" t="s">
        <v>412</v>
      </c>
      <c r="C212" s="896" t="s">
        <v>350</v>
      </c>
      <c r="D212" s="897">
        <v>1</v>
      </c>
      <c r="E212" s="897"/>
      <c r="F212" s="898"/>
      <c r="G212" s="980"/>
    </row>
    <row r="213" spans="1:7">
      <c r="A213" s="1002"/>
      <c r="B213" s="900" t="s">
        <v>697</v>
      </c>
      <c r="C213" s="901"/>
      <c r="D213" s="902"/>
      <c r="E213" s="903"/>
      <c r="F213" s="904"/>
      <c r="G213" s="980"/>
    </row>
    <row r="214" spans="1:7">
      <c r="A214" s="1002"/>
      <c r="B214" s="900"/>
      <c r="C214" s="901"/>
      <c r="D214" s="902"/>
      <c r="E214" s="903"/>
      <c r="F214" s="904"/>
      <c r="G214" s="980"/>
    </row>
    <row r="215" spans="1:7">
      <c r="A215" s="1002"/>
      <c r="B215" s="900"/>
      <c r="C215" s="901"/>
      <c r="D215" s="902"/>
      <c r="E215" s="903"/>
      <c r="F215" s="904"/>
      <c r="G215" s="980"/>
    </row>
    <row r="216" spans="1:7">
      <c r="A216" s="1002"/>
      <c r="B216" s="900"/>
      <c r="C216" s="901"/>
      <c r="D216" s="902"/>
      <c r="E216" s="903"/>
      <c r="F216" s="904"/>
      <c r="G216" s="980"/>
    </row>
    <row r="217" spans="1:7">
      <c r="A217" s="939"/>
      <c r="B217" s="905" t="s">
        <v>669</v>
      </c>
      <c r="C217" s="906"/>
      <c r="D217" s="906"/>
      <c r="E217" s="906"/>
      <c r="F217" s="907"/>
      <c r="G217" s="980"/>
    </row>
    <row r="218" spans="1:7">
      <c r="A218" s="939">
        <f>A7</f>
        <v>8.1</v>
      </c>
      <c r="B218" s="906" t="str">
        <f>B7</f>
        <v>ELEMENT NO. 1 : SUB-STRUCTURES (all provisional)</v>
      </c>
      <c r="C218" s="906"/>
      <c r="D218" s="906"/>
      <c r="E218" s="906"/>
      <c r="F218" s="907"/>
      <c r="G218" s="980"/>
    </row>
    <row r="219" spans="1:7">
      <c r="A219" s="939">
        <f>A39</f>
        <v>8.1999999999999993</v>
      </c>
      <c r="B219" s="906" t="str">
        <f>B39</f>
        <v>ELEMENT NO. 2: SUPER STRUCTURE CONCRETE</v>
      </c>
      <c r="C219" s="906"/>
      <c r="D219" s="906"/>
      <c r="E219" s="906"/>
      <c r="F219" s="907"/>
      <c r="G219" s="980"/>
    </row>
    <row r="220" spans="1:7">
      <c r="A220" s="939">
        <f>A53</f>
        <v>8.3000000000000007</v>
      </c>
      <c r="B220" s="906" t="str">
        <f>B53</f>
        <v>ELEMENT NO. 3 SUPERSTRUCTURE WALLING</v>
      </c>
      <c r="C220" s="906"/>
      <c r="D220" s="906"/>
      <c r="E220" s="906"/>
      <c r="F220" s="907"/>
      <c r="G220" s="980"/>
    </row>
    <row r="221" spans="1:7">
      <c r="A221" s="939">
        <f>A64</f>
        <v>8.4</v>
      </c>
      <c r="B221" s="906" t="str">
        <f>B64</f>
        <v>ELEMENT NO. 4 - ROOFING</v>
      </c>
      <c r="C221" s="906"/>
      <c r="D221" s="906"/>
      <c r="E221" s="906"/>
      <c r="F221" s="907"/>
      <c r="G221" s="980"/>
    </row>
    <row r="222" spans="1:7">
      <c r="A222" s="1036">
        <f>A92</f>
        <v>8.5</v>
      </c>
      <c r="B222" s="908" t="str">
        <f>B92</f>
        <v>ELEMENT NO. 5: DOORS</v>
      </c>
      <c r="C222" s="906"/>
      <c r="D222" s="906"/>
      <c r="E222" s="906"/>
      <c r="F222" s="907"/>
      <c r="G222" s="980"/>
    </row>
    <row r="223" spans="1:7">
      <c r="A223" s="939">
        <f>A111</f>
        <v>8.6</v>
      </c>
      <c r="B223" s="906" t="str">
        <f>B111</f>
        <v>ELEMENT NO. 6: WINDOWS</v>
      </c>
      <c r="C223" s="906"/>
      <c r="D223" s="906"/>
      <c r="E223" s="906"/>
      <c r="F223" s="907"/>
      <c r="G223" s="980"/>
    </row>
    <row r="224" spans="1:7">
      <c r="A224" s="939">
        <f>A119</f>
        <v>8.6999999999999993</v>
      </c>
      <c r="B224" s="906" t="str">
        <f>B119</f>
        <v>ELEMENT NO 7: FINISHES</v>
      </c>
      <c r="C224" s="906"/>
      <c r="D224" s="906"/>
      <c r="E224" s="906"/>
      <c r="F224" s="907"/>
      <c r="G224" s="980"/>
    </row>
    <row r="225" spans="1:7" s="982" customFormat="1">
      <c r="A225" s="939">
        <f>A142</f>
        <v>8.8000000000000007</v>
      </c>
      <c r="B225" s="909" t="str">
        <f>B142</f>
        <v>ELEMENT NO. 8: KITCHEN INTERIOR WORKS</v>
      </c>
      <c r="C225" s="906"/>
      <c r="D225" s="906"/>
      <c r="E225" s="906"/>
      <c r="F225" s="907"/>
      <c r="G225" s="981"/>
    </row>
    <row r="226" spans="1:7">
      <c r="A226" s="939">
        <f>A165</f>
        <v>8.9</v>
      </c>
      <c r="B226" s="906" t="str">
        <f>B165</f>
        <v>ELEMENT NO. 9: DINNING INTERIOR WORKS</v>
      </c>
      <c r="C226" s="906"/>
      <c r="D226" s="906"/>
      <c r="E226" s="906"/>
      <c r="F226" s="907"/>
    </row>
    <row r="227" spans="1:7" s="1052" customFormat="1">
      <c r="A227" s="1058" t="str">
        <f>A170</f>
        <v>8.10</v>
      </c>
      <c r="B227" s="1076" t="str">
        <f>B170</f>
        <v>ELEMENT NO. 10: ELECTRICAL INSTALLATIONS AND SERVICES</v>
      </c>
      <c r="C227" s="1060"/>
      <c r="D227" s="1060"/>
      <c r="E227" s="1060"/>
      <c r="F227" s="1061"/>
    </row>
    <row r="228" spans="1:7" s="1052" customFormat="1">
      <c r="A228" s="1058">
        <f>A192</f>
        <v>8.11</v>
      </c>
      <c r="B228" s="1060" t="str">
        <f>B192</f>
        <v>ELEMENT NO. 11: STEPS AND RUMPS</v>
      </c>
      <c r="C228" s="1060"/>
      <c r="D228" s="1060"/>
      <c r="E228" s="1060"/>
      <c r="F228" s="1061"/>
    </row>
    <row r="229" spans="1:7">
      <c r="A229" s="1035" t="str">
        <f>A197</f>
        <v>8.12</v>
      </c>
      <c r="B229" s="906" t="str">
        <f>B197</f>
        <v>ELEMENT NO. 12: WALL SHELVES</v>
      </c>
      <c r="C229" s="906"/>
      <c r="D229" s="906"/>
      <c r="E229" s="906"/>
      <c r="F229" s="907"/>
    </row>
    <row r="230" spans="1:7" s="1052" customFormat="1">
      <c r="A230" s="1077">
        <f>A203</f>
        <v>8.1300000000000008</v>
      </c>
      <c r="B230" s="1060" t="str">
        <f>B203</f>
        <v>ELEMENT NO.13: MECHANICAL WORKS</v>
      </c>
      <c r="C230" s="1060"/>
      <c r="D230" s="1060"/>
      <c r="E230" s="1060"/>
      <c r="F230" s="1061"/>
    </row>
    <row r="231" spans="1:7" s="1052" customFormat="1">
      <c r="A231" s="1077">
        <f>A208</f>
        <v>8.14</v>
      </c>
      <c r="B231" s="1060" t="str">
        <f>B208</f>
        <v>ELEMENT NO.14: SOAK PIT 1 No.</v>
      </c>
      <c r="C231" s="1060"/>
      <c r="D231" s="1060"/>
      <c r="E231" s="1060"/>
      <c r="F231" s="1061"/>
    </row>
    <row r="232" spans="1:7">
      <c r="A232" s="939"/>
      <c r="B232" s="906"/>
      <c r="C232" s="906"/>
      <c r="D232" s="906"/>
      <c r="E232" s="906"/>
      <c r="F232" s="907"/>
    </row>
    <row r="233" spans="1:7">
      <c r="A233" s="933"/>
      <c r="B233" s="905" t="s">
        <v>1254</v>
      </c>
      <c r="C233" s="905"/>
      <c r="D233" s="905"/>
      <c r="E233" s="905"/>
      <c r="F233" s="910"/>
    </row>
  </sheetData>
  <pageMargins left="0.7" right="0.7" top="0.75" bottom="0.75" header="0.3" footer="0.3"/>
  <pageSetup scale="69" orientation="portrait" horizontalDpi="300" verticalDpi="300" r:id="rId1"/>
  <rowBreaks count="4" manualBreakCount="4">
    <brk id="36" max="5" man="1"/>
    <brk id="116" max="5" man="1"/>
    <brk id="167" max="5" man="1"/>
    <brk id="189"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65"/>
  <sheetViews>
    <sheetView view="pageBreakPreview" zoomScale="112" zoomScaleNormal="100" zoomScaleSheetLayoutView="112" workbookViewId="0">
      <pane xSplit="2" ySplit="1" topLeftCell="C149" activePane="bottomRight" state="frozen"/>
      <selection pane="topRight" activeCell="C1" sqref="C1"/>
      <selection pane="bottomLeft" activeCell="A2" sqref="A2"/>
      <selection pane="bottomRight" activeCell="E122" sqref="E122:E166"/>
    </sheetView>
  </sheetViews>
  <sheetFormatPr defaultColWidth="8.88671875" defaultRowHeight="14.4"/>
  <cols>
    <col min="1" max="1" width="7.88671875" style="423" customWidth="1"/>
    <col min="2" max="2" width="56.5546875" style="504" customWidth="1"/>
    <col min="3" max="3" width="8.88671875" style="504"/>
    <col min="4" max="4" width="6.88671875" style="504" bestFit="1" customWidth="1"/>
    <col min="5" max="5" width="8.5546875" style="504" customWidth="1"/>
    <col min="6" max="6" width="16" style="504" customWidth="1"/>
    <col min="7" max="16384" width="8.88671875" style="504"/>
  </cols>
  <sheetData>
    <row r="1" spans="1:6">
      <c r="A1" s="806" t="s">
        <v>260</v>
      </c>
      <c r="B1" s="807" t="s">
        <v>13</v>
      </c>
      <c r="C1" s="808" t="s">
        <v>330</v>
      </c>
      <c r="D1" s="809" t="s">
        <v>331</v>
      </c>
      <c r="E1" s="810" t="s">
        <v>332</v>
      </c>
      <c r="F1" s="811"/>
    </row>
    <row r="2" spans="1:6">
      <c r="A2" s="54"/>
      <c r="B2" s="15" t="str">
        <f>'1 Preliminaries '!B2</f>
        <v>PROPOSED MALE TRANSITION CENTER - BAIDOA</v>
      </c>
      <c r="C2" s="30"/>
      <c r="D2" s="35"/>
      <c r="E2" s="51"/>
      <c r="F2" s="55"/>
    </row>
    <row r="3" spans="1:6">
      <c r="A3" s="54"/>
      <c r="B3" s="31" t="s">
        <v>1442</v>
      </c>
      <c r="C3" s="30"/>
      <c r="D3" s="35"/>
      <c r="E3" s="51"/>
      <c r="F3" s="55"/>
    </row>
    <row r="4" spans="1:6">
      <c r="A4" s="54"/>
      <c r="B4" s="31"/>
      <c r="C4" s="30"/>
      <c r="D4" s="35"/>
      <c r="E4" s="51"/>
      <c r="F4" s="55"/>
    </row>
    <row r="5" spans="1:6">
      <c r="A5" s="422">
        <v>9</v>
      </c>
      <c r="B5" s="212" t="s">
        <v>1443</v>
      </c>
      <c r="C5" s="16"/>
      <c r="D5" s="17"/>
      <c r="E5" s="36"/>
      <c r="F5" s="56"/>
    </row>
    <row r="6" spans="1:6">
      <c r="A6" s="422"/>
      <c r="B6" s="212"/>
      <c r="C6" s="752"/>
      <c r="D6" s="753"/>
      <c r="E6" s="754"/>
      <c r="F6" s="755"/>
    </row>
    <row r="7" spans="1:6">
      <c r="A7" s="422">
        <v>9.1</v>
      </c>
      <c r="B7" s="212" t="s">
        <v>974</v>
      </c>
      <c r="C7" s="16"/>
      <c r="D7" s="17"/>
      <c r="E7" s="36"/>
      <c r="F7" s="56"/>
    </row>
    <row r="8" spans="1:6" ht="86.4">
      <c r="A8" s="426" t="s">
        <v>1405</v>
      </c>
      <c r="B8" s="427" t="s">
        <v>1697</v>
      </c>
      <c r="C8" s="205" t="s">
        <v>689</v>
      </c>
      <c r="D8" s="151">
        <f>CEILING((24.3+7*4)*0.2*3,1)</f>
        <v>32</v>
      </c>
      <c r="E8" s="152"/>
      <c r="F8" s="190"/>
    </row>
    <row r="9" spans="1:6" ht="43.2">
      <c r="A9" s="426" t="s">
        <v>1406</v>
      </c>
      <c r="B9" s="427" t="s">
        <v>1698</v>
      </c>
      <c r="C9" s="205" t="s">
        <v>465</v>
      </c>
      <c r="D9" s="151">
        <v>313</v>
      </c>
      <c r="E9" s="152"/>
      <c r="F9" s="190"/>
    </row>
    <row r="10" spans="1:6" ht="43.2">
      <c r="A10" s="426" t="s">
        <v>1406</v>
      </c>
      <c r="B10" s="427" t="s">
        <v>1444</v>
      </c>
      <c r="C10" s="205" t="s">
        <v>465</v>
      </c>
      <c r="D10" s="151">
        <f>313</f>
        <v>313</v>
      </c>
      <c r="E10" s="152"/>
      <c r="F10" s="190"/>
    </row>
    <row r="11" spans="1:6" ht="15.6">
      <c r="A11" s="1080"/>
      <c r="B11" s="1056"/>
      <c r="C11" s="1081"/>
      <c r="D11" s="1048"/>
      <c r="E11" s="1049"/>
      <c r="F11" s="1082"/>
    </row>
    <row r="12" spans="1:6">
      <c r="A12" s="1080"/>
      <c r="B12" s="761" t="s">
        <v>1002</v>
      </c>
      <c r="C12" s="219"/>
      <c r="D12" s="220"/>
      <c r="E12" s="221"/>
      <c r="F12" s="216"/>
    </row>
    <row r="13" spans="1:6">
      <c r="A13" s="756"/>
      <c r="B13" s="23"/>
      <c r="C13" s="25"/>
      <c r="D13" s="25"/>
      <c r="E13" s="757"/>
      <c r="F13" s="758"/>
    </row>
    <row r="14" spans="1:6" ht="28.8">
      <c r="A14" s="413">
        <v>9.1999999999999993</v>
      </c>
      <c r="B14" s="15" t="s">
        <v>977</v>
      </c>
      <c r="C14" s="25"/>
      <c r="D14" s="25"/>
      <c r="E14" s="757"/>
      <c r="F14" s="758"/>
    </row>
    <row r="15" spans="1:6">
      <c r="A15" s="545"/>
      <c r="B15" s="546" t="s">
        <v>873</v>
      </c>
      <c r="C15" s="547"/>
      <c r="D15" s="547"/>
      <c r="E15" s="547"/>
      <c r="F15" s="576"/>
    </row>
    <row r="16" spans="1:6" ht="28.8">
      <c r="A16" s="426" t="s">
        <v>1431</v>
      </c>
      <c r="B16" s="427" t="s">
        <v>1445</v>
      </c>
      <c r="C16" s="205" t="s">
        <v>501</v>
      </c>
      <c r="D16" s="151">
        <f>CEILING(0.6*34.8*1,1)</f>
        <v>21</v>
      </c>
      <c r="E16" s="152"/>
      <c r="F16" s="190"/>
    </row>
    <row r="17" spans="1:6">
      <c r="A17" s="548"/>
      <c r="B17" s="549"/>
      <c r="C17" s="547"/>
      <c r="D17" s="547"/>
      <c r="E17" s="547"/>
      <c r="F17" s="576"/>
    </row>
    <row r="18" spans="1:6">
      <c r="A18" s="545"/>
      <c r="B18" s="546" t="s">
        <v>876</v>
      </c>
      <c r="C18" s="547"/>
      <c r="D18" s="547"/>
      <c r="E18" s="547"/>
      <c r="F18" s="576"/>
    </row>
    <row r="19" spans="1:6" ht="28.8">
      <c r="A19" s="426" t="s">
        <v>1432</v>
      </c>
      <c r="B19" s="427" t="s">
        <v>877</v>
      </c>
      <c r="C19" s="205" t="s">
        <v>501</v>
      </c>
      <c r="D19" s="151">
        <f>CEILING(D16-((34.8*0.6*0.2)+(34.8*0.4*1)),1)</f>
        <v>3</v>
      </c>
      <c r="E19" s="152"/>
      <c r="F19" s="190"/>
    </row>
    <row r="20" spans="1:6" ht="16.2">
      <c r="A20" s="426" t="s">
        <v>1433</v>
      </c>
      <c r="B20" s="427" t="s">
        <v>878</v>
      </c>
      <c r="C20" s="205" t="s">
        <v>501</v>
      </c>
      <c r="D20" s="151">
        <f>D16-D19</f>
        <v>18</v>
      </c>
      <c r="E20" s="152"/>
      <c r="F20" s="190"/>
    </row>
    <row r="21" spans="1:6">
      <c r="A21" s="561"/>
      <c r="B21" s="562"/>
      <c r="C21" s="563"/>
      <c r="D21" s="563"/>
      <c r="E21" s="564"/>
      <c r="F21" s="576"/>
    </row>
    <row r="22" spans="1:6">
      <c r="A22" s="545"/>
      <c r="B22" s="546" t="s">
        <v>884</v>
      </c>
      <c r="C22" s="547"/>
      <c r="D22" s="547"/>
      <c r="E22" s="547"/>
      <c r="F22" s="576"/>
    </row>
    <row r="23" spans="1:6" ht="16.2">
      <c r="A23" s="426" t="s">
        <v>1434</v>
      </c>
      <c r="B23" s="427" t="s">
        <v>1446</v>
      </c>
      <c r="C23" s="205" t="s">
        <v>501</v>
      </c>
      <c r="D23" s="151">
        <f>CEILING(34.8*0.6*0.2,1)</f>
        <v>5</v>
      </c>
      <c r="E23" s="152"/>
      <c r="F23" s="190"/>
    </row>
    <row r="24" spans="1:6" ht="16.2">
      <c r="A24" s="426" t="s">
        <v>1435</v>
      </c>
      <c r="B24" s="427" t="s">
        <v>985</v>
      </c>
      <c r="C24" s="205" t="s">
        <v>501</v>
      </c>
      <c r="D24" s="151">
        <f>CEILING(0.3*0.3*4.3*11,1)</f>
        <v>5</v>
      </c>
      <c r="E24" s="152"/>
      <c r="F24" s="190"/>
    </row>
    <row r="25" spans="1:6" ht="16.2">
      <c r="A25" s="426" t="s">
        <v>1436</v>
      </c>
      <c r="B25" s="427" t="s">
        <v>886</v>
      </c>
      <c r="C25" s="205" t="s">
        <v>501</v>
      </c>
      <c r="D25" s="151">
        <f>CEILING(34.8*0.3*0.2,1)</f>
        <v>3</v>
      </c>
      <c r="E25" s="152"/>
      <c r="F25" s="190"/>
    </row>
    <row r="26" spans="1:6">
      <c r="A26" s="548"/>
      <c r="B26" s="549"/>
      <c r="C26" s="547"/>
      <c r="D26" s="547"/>
      <c r="E26" s="547"/>
      <c r="F26" s="576"/>
    </row>
    <row r="27" spans="1:6">
      <c r="A27" s="548"/>
      <c r="B27" s="546" t="s">
        <v>888</v>
      </c>
      <c r="C27" s="547"/>
      <c r="D27" s="547"/>
      <c r="E27" s="547"/>
      <c r="F27" s="576"/>
    </row>
    <row r="28" spans="1:6">
      <c r="A28" s="548" t="s">
        <v>1437</v>
      </c>
      <c r="B28" s="551" t="s">
        <v>889</v>
      </c>
      <c r="C28" s="547"/>
      <c r="D28" s="547"/>
      <c r="E28" s="547"/>
      <c r="F28" s="576"/>
    </row>
    <row r="29" spans="1:6">
      <c r="A29" s="548"/>
      <c r="B29" s="551" t="s">
        <v>890</v>
      </c>
      <c r="C29" s="547"/>
      <c r="D29" s="547"/>
      <c r="E29" s="547"/>
      <c r="F29" s="576"/>
    </row>
    <row r="30" spans="1:6">
      <c r="A30" s="548" t="s">
        <v>1438</v>
      </c>
      <c r="B30" s="549" t="s">
        <v>891</v>
      </c>
      <c r="C30" s="547" t="s">
        <v>892</v>
      </c>
      <c r="D30" s="547">
        <f>CEILING(((34.8/0.2+1)*(0.5)+(3*34.8*1.15))*0.395,1)</f>
        <v>82</v>
      </c>
      <c r="E30" s="547"/>
      <c r="F30" s="576"/>
    </row>
    <row r="31" spans="1:6">
      <c r="A31" s="548" t="s">
        <v>1439</v>
      </c>
      <c r="B31" s="549" t="s">
        <v>1015</v>
      </c>
      <c r="C31" s="547" t="s">
        <v>892</v>
      </c>
      <c r="D31" s="547">
        <f>CEILING((34.8/0.2+1)*(0.7)*0.617,1)</f>
        <v>76</v>
      </c>
      <c r="E31" s="547"/>
      <c r="F31" s="576"/>
    </row>
    <row r="32" spans="1:6">
      <c r="A32" s="548" t="s">
        <v>1439</v>
      </c>
      <c r="B32" s="549" t="s">
        <v>893</v>
      </c>
      <c r="C32" s="547" t="s">
        <v>892</v>
      </c>
      <c r="D32" s="547">
        <f>CEILING((4*34.8*1.15)*0.888,1)</f>
        <v>143</v>
      </c>
      <c r="E32" s="547"/>
      <c r="F32" s="576"/>
    </row>
    <row r="33" spans="1:6">
      <c r="A33" s="548"/>
      <c r="B33" s="549"/>
      <c r="C33" s="547"/>
      <c r="D33" s="547"/>
      <c r="E33" s="547"/>
      <c r="F33" s="576"/>
    </row>
    <row r="34" spans="1:6">
      <c r="A34" s="545"/>
      <c r="B34" s="546" t="s">
        <v>894</v>
      </c>
      <c r="C34" s="547"/>
      <c r="D34" s="547"/>
      <c r="E34" s="547"/>
      <c r="F34" s="576"/>
    </row>
    <row r="35" spans="1:6" ht="16.2">
      <c r="A35" s="548" t="s">
        <v>1440</v>
      </c>
      <c r="B35" s="549" t="s">
        <v>1447</v>
      </c>
      <c r="C35" s="547" t="s">
        <v>500</v>
      </c>
      <c r="D35" s="547">
        <f>CEILING(34.8*2*0.2,1)</f>
        <v>14</v>
      </c>
      <c r="E35" s="547"/>
      <c r="F35" s="576"/>
    </row>
    <row r="36" spans="1:6">
      <c r="A36" s="548" t="s">
        <v>1441</v>
      </c>
      <c r="B36" s="549" t="s">
        <v>984</v>
      </c>
      <c r="C36" s="547" t="s">
        <v>325</v>
      </c>
      <c r="D36" s="547">
        <f>CEILING(0.3*4*4.6*11,1)</f>
        <v>61</v>
      </c>
      <c r="E36" s="547"/>
      <c r="F36" s="576"/>
    </row>
    <row r="37" spans="1:6">
      <c r="A37" s="548"/>
      <c r="B37" s="761" t="s">
        <v>1002</v>
      </c>
      <c r="C37" s="219"/>
      <c r="D37" s="220"/>
      <c r="E37" s="221"/>
      <c r="F37" s="216"/>
    </row>
    <row r="38" spans="1:6">
      <c r="A38" s="548"/>
      <c r="B38" s="549"/>
      <c r="C38" s="547"/>
      <c r="D38" s="547"/>
      <c r="E38" s="547"/>
      <c r="F38" s="576"/>
    </row>
    <row r="39" spans="1:6" ht="15.6">
      <c r="A39" s="760">
        <v>9.3000000000000007</v>
      </c>
      <c r="B39" s="202" t="s">
        <v>1778</v>
      </c>
      <c r="C39" s="770"/>
      <c r="D39" s="770"/>
      <c r="E39" s="770"/>
      <c r="F39" s="577"/>
    </row>
    <row r="40" spans="1:6">
      <c r="A40" s="760"/>
      <c r="B40" s="762" t="s">
        <v>993</v>
      </c>
      <c r="C40" s="763"/>
      <c r="D40" s="763"/>
      <c r="E40" s="764"/>
      <c r="F40" s="765"/>
    </row>
    <row r="41" spans="1:6">
      <c r="A41" s="760"/>
      <c r="B41" s="762"/>
      <c r="C41" s="763"/>
      <c r="D41" s="763"/>
      <c r="E41" s="764"/>
      <c r="F41" s="765"/>
    </row>
    <row r="42" spans="1:6" ht="28.8">
      <c r="A42" s="768" t="s">
        <v>1407</v>
      </c>
      <c r="B42" s="769" t="s">
        <v>1448</v>
      </c>
      <c r="C42" s="763"/>
      <c r="D42" s="763">
        <f>CEILING(((23.7*2)*3.3),1)</f>
        <v>157</v>
      </c>
      <c r="E42" s="771"/>
      <c r="F42" s="772"/>
    </row>
    <row r="43" spans="1:6" ht="16.2">
      <c r="A43" s="768" t="s">
        <v>1408</v>
      </c>
      <c r="B43" s="769" t="s">
        <v>995</v>
      </c>
      <c r="C43" s="770" t="s">
        <v>925</v>
      </c>
      <c r="D43" s="763">
        <f>CEILING(((26.7+23.7*4)*3.3),1)</f>
        <v>401</v>
      </c>
      <c r="E43" s="771"/>
      <c r="F43" s="772"/>
    </row>
    <row r="44" spans="1:6" ht="16.2">
      <c r="A44" s="768" t="s">
        <v>1409</v>
      </c>
      <c r="B44" s="769" t="s">
        <v>996</v>
      </c>
      <c r="C44" s="770" t="s">
        <v>925</v>
      </c>
      <c r="D44" s="763">
        <f>CEILING(((83.5)*3.3),1)</f>
        <v>276</v>
      </c>
      <c r="E44" s="771"/>
      <c r="F44" s="772"/>
    </row>
    <row r="45" spans="1:6">
      <c r="A45" s="1190"/>
      <c r="B45" s="1191"/>
      <c r="C45" s="1192"/>
      <c r="D45" s="1193"/>
      <c r="E45" s="1194"/>
      <c r="F45" s="1195"/>
    </row>
    <row r="46" spans="1:6" s="66" customFormat="1">
      <c r="A46" s="1169"/>
      <c r="B46" s="1170" t="s">
        <v>1100</v>
      </c>
      <c r="C46" s="1171"/>
      <c r="D46" s="1172"/>
      <c r="E46" s="1171"/>
      <c r="F46" s="1173"/>
    </row>
    <row r="47" spans="1:6" s="1178" customFormat="1">
      <c r="A47" s="1174" t="s">
        <v>1320</v>
      </c>
      <c r="B47" s="1062" t="s">
        <v>1101</v>
      </c>
      <c r="C47" s="1175" t="s">
        <v>282</v>
      </c>
      <c r="D47" s="1176">
        <f>CEILING((87.6+34.8+5.8*4)*0.4*0.4,1)</f>
        <v>24</v>
      </c>
      <c r="E47" s="1175"/>
      <c r="F47" s="1177"/>
    </row>
    <row r="48" spans="1:6" s="1178" customFormat="1">
      <c r="A48" s="1174"/>
      <c r="B48" s="1062" t="s">
        <v>1675</v>
      </c>
      <c r="C48" s="1175" t="s">
        <v>282</v>
      </c>
      <c r="D48" s="1179">
        <f>CEILING(87.6*0.15,1)</f>
        <v>14</v>
      </c>
      <c r="E48" s="1180"/>
      <c r="F48" s="1181"/>
    </row>
    <row r="49" spans="1:198" s="1178" customFormat="1">
      <c r="A49" s="1174"/>
      <c r="B49" s="1182" t="s">
        <v>1676</v>
      </c>
      <c r="C49" s="1175" t="s">
        <v>282</v>
      </c>
      <c r="D49" s="1179">
        <f>CEILING(11*0.4*0.4*3.3,1)</f>
        <v>6</v>
      </c>
      <c r="E49" s="1180"/>
      <c r="F49" s="1181"/>
    </row>
    <row r="50" spans="1:198" s="66" customFormat="1">
      <c r="A50" s="1169"/>
      <c r="B50" s="1170" t="s">
        <v>534</v>
      </c>
      <c r="C50" s="1171"/>
      <c r="D50" s="1172"/>
      <c r="E50" s="1171"/>
      <c r="F50" s="1173"/>
    </row>
    <row r="51" spans="1:198" s="66" customFormat="1">
      <c r="A51" s="1169"/>
      <c r="B51" s="1170" t="s">
        <v>535</v>
      </c>
      <c r="C51" s="1171"/>
      <c r="D51" s="1172"/>
      <c r="E51" s="1171"/>
      <c r="F51" s="1173"/>
    </row>
    <row r="52" spans="1:198" s="66" customFormat="1">
      <c r="A52" s="1169" t="s">
        <v>1321</v>
      </c>
      <c r="B52" s="1183" t="s">
        <v>1102</v>
      </c>
      <c r="C52" s="1171" t="s">
        <v>287</v>
      </c>
      <c r="D52" s="1048">
        <f>CEILING((87.6+34.8+5.8*4)/0.2*0.7*0.395,1)</f>
        <v>202</v>
      </c>
      <c r="E52" s="1171"/>
      <c r="F52" s="1173"/>
    </row>
    <row r="53" spans="1:198" s="66" customFormat="1">
      <c r="A53" s="1169" t="s">
        <v>1322</v>
      </c>
      <c r="B53" s="1183" t="s">
        <v>1103</v>
      </c>
      <c r="C53" s="1171" t="s">
        <v>287</v>
      </c>
      <c r="D53" s="1048">
        <f>CEILING((87.6+34.8+5.8*4)*4*1.15*0.888,1)</f>
        <v>595</v>
      </c>
      <c r="E53" s="1171"/>
      <c r="F53" s="1173"/>
    </row>
    <row r="54" spans="1:198" s="66" customFormat="1">
      <c r="A54" s="1169"/>
      <c r="B54" s="1184" t="s">
        <v>1104</v>
      </c>
      <c r="C54" s="1171"/>
      <c r="D54" s="1172"/>
      <c r="E54" s="1171"/>
      <c r="F54" s="1173"/>
    </row>
    <row r="55" spans="1:198" s="66" customFormat="1">
      <c r="A55" s="1169" t="s">
        <v>1323</v>
      </c>
      <c r="B55" s="1183" t="s">
        <v>1105</v>
      </c>
      <c r="C55" s="1171" t="s">
        <v>8</v>
      </c>
      <c r="D55" s="1048">
        <f>CEILING((87.6+34.8+5.8*4)*2*0.2,1)</f>
        <v>59</v>
      </c>
      <c r="E55" s="1171"/>
      <c r="F55" s="1173"/>
    </row>
    <row r="56" spans="1:198" s="66" customFormat="1">
      <c r="A56" s="1169"/>
      <c r="B56" s="1183" t="s">
        <v>1684</v>
      </c>
      <c r="C56" s="1171" t="s">
        <v>8</v>
      </c>
      <c r="D56" s="1048">
        <v>188</v>
      </c>
      <c r="E56" s="1171"/>
      <c r="F56" s="1173"/>
    </row>
    <row r="57" spans="1:198" s="150" customFormat="1">
      <c r="A57" s="779"/>
      <c r="B57" s="780" t="s">
        <v>1757</v>
      </c>
      <c r="C57" s="782"/>
      <c r="D57" s="1216"/>
      <c r="E57" s="1353"/>
      <c r="F57" s="783"/>
    </row>
    <row r="58" spans="1:198">
      <c r="A58" s="812" t="s">
        <v>260</v>
      </c>
      <c r="B58" s="813" t="s">
        <v>13</v>
      </c>
      <c r="C58" s="814" t="s">
        <v>330</v>
      </c>
      <c r="D58" s="815" t="s">
        <v>331</v>
      </c>
      <c r="E58" s="816" t="s">
        <v>332</v>
      </c>
      <c r="F58" s="817"/>
    </row>
    <row r="59" spans="1:198">
      <c r="A59" s="760"/>
      <c r="B59" s="761" t="s">
        <v>1779</v>
      </c>
      <c r="C59" s="773"/>
      <c r="D59" s="773"/>
      <c r="E59" s="774"/>
      <c r="F59" s="765"/>
    </row>
    <row r="60" spans="1:198" s="161" customFormat="1" ht="31.2">
      <c r="A60" s="415" t="s">
        <v>1410</v>
      </c>
      <c r="B60" s="164" t="s">
        <v>608</v>
      </c>
      <c r="C60" s="163" t="s">
        <v>8</v>
      </c>
      <c r="D60" s="165">
        <f>CEILING(313*1.15,1)</f>
        <v>360</v>
      </c>
      <c r="E60" s="157"/>
      <c r="F60" s="158"/>
      <c r="G60" s="159"/>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c r="BT60" s="160"/>
      <c r="BU60" s="160"/>
      <c r="BV60" s="160"/>
      <c r="BW60" s="160"/>
      <c r="BX60" s="160"/>
      <c r="BY60" s="160"/>
      <c r="BZ60" s="160"/>
      <c r="CA60" s="160"/>
      <c r="CB60" s="160"/>
      <c r="CC60" s="160"/>
      <c r="CD60" s="160"/>
      <c r="CE60" s="160"/>
      <c r="CF60" s="160"/>
      <c r="CG60" s="160"/>
      <c r="CH60" s="160"/>
      <c r="CI60" s="160"/>
      <c r="CJ60" s="160"/>
      <c r="CK60" s="160"/>
      <c r="CL60" s="160"/>
      <c r="CM60" s="160"/>
      <c r="CN60" s="160"/>
      <c r="CO60" s="160"/>
      <c r="CP60" s="160"/>
      <c r="CQ60" s="160"/>
      <c r="CR60" s="160"/>
      <c r="CS60" s="160"/>
      <c r="CT60" s="160"/>
      <c r="CU60" s="160"/>
      <c r="CV60" s="160"/>
      <c r="CW60" s="160"/>
      <c r="CX60" s="160"/>
      <c r="CY60" s="160"/>
      <c r="CZ60" s="160"/>
      <c r="DA60" s="160"/>
      <c r="DB60" s="160"/>
      <c r="DC60" s="160"/>
      <c r="DD60" s="160"/>
      <c r="DE60" s="160"/>
      <c r="DF60" s="160"/>
      <c r="DG60" s="160"/>
      <c r="DH60" s="160"/>
      <c r="DI60" s="160"/>
      <c r="DJ60" s="160"/>
      <c r="DK60" s="160"/>
      <c r="DL60" s="160"/>
      <c r="DM60" s="160"/>
      <c r="DN60" s="160"/>
      <c r="DO60" s="160"/>
      <c r="DP60" s="160"/>
      <c r="DQ60" s="160"/>
      <c r="DR60" s="160"/>
      <c r="DS60" s="160"/>
      <c r="DT60" s="160"/>
      <c r="DU60" s="160"/>
      <c r="DV60" s="160"/>
      <c r="DW60" s="160"/>
      <c r="DX60" s="160"/>
      <c r="DY60" s="160"/>
      <c r="DZ60" s="160"/>
      <c r="EA60" s="160"/>
      <c r="EB60" s="160"/>
      <c r="EC60" s="160"/>
      <c r="ED60" s="160"/>
      <c r="EE60" s="160"/>
      <c r="EF60" s="160"/>
      <c r="EG60" s="160"/>
      <c r="EH60" s="160"/>
      <c r="EI60" s="160"/>
      <c r="EJ60" s="160"/>
      <c r="EK60" s="160"/>
      <c r="EL60" s="160"/>
      <c r="EM60" s="160"/>
      <c r="EN60" s="160"/>
      <c r="EO60" s="160"/>
      <c r="EP60" s="160"/>
      <c r="EQ60" s="160"/>
      <c r="ER60" s="160"/>
      <c r="ES60" s="160"/>
      <c r="ET60" s="160"/>
      <c r="EU60" s="160"/>
      <c r="EV60" s="160"/>
      <c r="EW60" s="160"/>
      <c r="EX60" s="160"/>
      <c r="EY60" s="160"/>
      <c r="EZ60" s="160"/>
      <c r="FA60" s="160"/>
      <c r="FB60" s="160"/>
      <c r="FC60" s="160"/>
      <c r="FD60" s="160"/>
      <c r="FE60" s="160"/>
      <c r="FF60" s="160"/>
      <c r="FG60" s="160"/>
      <c r="FH60" s="160"/>
      <c r="FI60" s="160"/>
      <c r="FJ60" s="160"/>
      <c r="FK60" s="160"/>
      <c r="FL60" s="160"/>
      <c r="FM60" s="160"/>
      <c r="FN60" s="160"/>
      <c r="FO60" s="160"/>
      <c r="FP60" s="160"/>
      <c r="FQ60" s="160"/>
      <c r="FR60" s="160"/>
      <c r="FS60" s="160"/>
      <c r="FT60" s="160"/>
      <c r="FU60" s="160"/>
      <c r="FV60" s="160"/>
      <c r="FW60" s="160"/>
      <c r="FX60" s="160"/>
      <c r="FY60" s="160"/>
      <c r="FZ60" s="160"/>
      <c r="GA60" s="160"/>
      <c r="GB60" s="160"/>
      <c r="GC60" s="160"/>
      <c r="GD60" s="160"/>
      <c r="GE60" s="160"/>
      <c r="GF60" s="160"/>
      <c r="GG60" s="160"/>
      <c r="GH60" s="160"/>
      <c r="GI60" s="160"/>
      <c r="GJ60" s="160"/>
      <c r="GK60" s="160"/>
      <c r="GL60" s="160"/>
      <c r="GM60" s="160"/>
      <c r="GN60" s="160"/>
      <c r="GO60" s="160"/>
      <c r="GP60" s="160"/>
    </row>
    <row r="61" spans="1:198" s="161" customFormat="1" ht="31.2">
      <c r="A61" s="1083"/>
      <c r="B61" s="162" t="s">
        <v>607</v>
      </c>
      <c r="C61" s="1084"/>
      <c r="D61" s="1085"/>
      <c r="E61" s="1086"/>
      <c r="F61" s="1087"/>
      <c r="G61" s="159"/>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160"/>
      <c r="CD61" s="160"/>
      <c r="CE61" s="160"/>
      <c r="CF61" s="160"/>
      <c r="CG61" s="160"/>
      <c r="CH61" s="160"/>
      <c r="CI61" s="160"/>
      <c r="CJ61" s="160"/>
      <c r="CK61" s="160"/>
      <c r="CL61" s="160"/>
      <c r="CM61" s="160"/>
      <c r="CN61" s="160"/>
      <c r="CO61" s="160"/>
      <c r="CP61" s="160"/>
      <c r="CQ61" s="160"/>
      <c r="CR61" s="160"/>
      <c r="CS61" s="160"/>
      <c r="CT61" s="160"/>
      <c r="CU61" s="160"/>
      <c r="CV61" s="160"/>
      <c r="CW61" s="160"/>
      <c r="CX61" s="160"/>
      <c r="CY61" s="160"/>
      <c r="CZ61" s="160"/>
      <c r="DA61" s="160"/>
      <c r="DB61" s="160"/>
      <c r="DC61" s="160"/>
      <c r="DD61" s="160"/>
      <c r="DE61" s="160"/>
      <c r="DF61" s="160"/>
      <c r="DG61" s="160"/>
      <c r="DH61" s="160"/>
      <c r="DI61" s="160"/>
      <c r="DJ61" s="160"/>
      <c r="DK61" s="160"/>
      <c r="DL61" s="160"/>
      <c r="DM61" s="160"/>
      <c r="DN61" s="160"/>
      <c r="DO61" s="160"/>
      <c r="DP61" s="160"/>
      <c r="DQ61" s="160"/>
      <c r="DR61" s="160"/>
      <c r="DS61" s="160"/>
      <c r="DT61" s="160"/>
      <c r="DU61" s="160"/>
      <c r="DV61" s="160"/>
      <c r="DW61" s="160"/>
      <c r="DX61" s="160"/>
      <c r="DY61" s="160"/>
      <c r="DZ61" s="160"/>
      <c r="EA61" s="160"/>
      <c r="EB61" s="160"/>
      <c r="EC61" s="160"/>
      <c r="ED61" s="160"/>
      <c r="EE61" s="160"/>
      <c r="EF61" s="160"/>
      <c r="EG61" s="160"/>
      <c r="EH61" s="160"/>
      <c r="EI61" s="160"/>
      <c r="EJ61" s="160"/>
      <c r="EK61" s="160"/>
      <c r="EL61" s="160"/>
      <c r="EM61" s="160"/>
      <c r="EN61" s="160"/>
      <c r="EO61" s="160"/>
      <c r="EP61" s="160"/>
      <c r="EQ61" s="160"/>
      <c r="ER61" s="160"/>
      <c r="ES61" s="160"/>
      <c r="ET61" s="160"/>
      <c r="EU61" s="160"/>
      <c r="EV61" s="160"/>
      <c r="EW61" s="160"/>
      <c r="EX61" s="160"/>
      <c r="EY61" s="160"/>
      <c r="EZ61" s="160"/>
      <c r="FA61" s="160"/>
      <c r="FB61" s="160"/>
      <c r="FC61" s="160"/>
      <c r="FD61" s="160"/>
      <c r="FE61" s="160"/>
      <c r="FF61" s="160"/>
      <c r="FG61" s="160"/>
      <c r="FH61" s="160"/>
      <c r="FI61" s="160"/>
      <c r="FJ61" s="160"/>
      <c r="FK61" s="160"/>
      <c r="FL61" s="160"/>
      <c r="FM61" s="160"/>
      <c r="FN61" s="160"/>
      <c r="FO61" s="160"/>
      <c r="FP61" s="160"/>
      <c r="FQ61" s="160"/>
      <c r="FR61" s="160"/>
      <c r="FS61" s="160"/>
      <c r="FT61" s="160"/>
      <c r="FU61" s="160"/>
      <c r="FV61" s="160"/>
      <c r="FW61" s="160"/>
      <c r="FX61" s="160"/>
      <c r="FY61" s="160"/>
      <c r="FZ61" s="160"/>
      <c r="GA61" s="160"/>
      <c r="GB61" s="160"/>
      <c r="GC61" s="160"/>
      <c r="GD61" s="160"/>
      <c r="GE61" s="160"/>
      <c r="GF61" s="160"/>
      <c r="GG61" s="160"/>
      <c r="GH61" s="160"/>
      <c r="GI61" s="160"/>
      <c r="GJ61" s="160"/>
      <c r="GK61" s="160"/>
      <c r="GL61" s="160"/>
      <c r="GM61" s="160"/>
      <c r="GN61" s="160"/>
      <c r="GO61" s="160"/>
      <c r="GP61" s="160"/>
    </row>
    <row r="62" spans="1:198" s="176" customFormat="1" ht="15.6">
      <c r="A62" s="416" t="s">
        <v>1411</v>
      </c>
      <c r="B62" s="173" t="s">
        <v>692</v>
      </c>
      <c r="C62" s="173" t="s">
        <v>9</v>
      </c>
      <c r="D62" s="173">
        <f>CEILING(20.6*23,1)</f>
        <v>474</v>
      </c>
      <c r="E62" s="173"/>
      <c r="F62" s="158"/>
      <c r="G62" s="175"/>
    </row>
    <row r="63" spans="1:198" s="176" customFormat="1" ht="15.6">
      <c r="A63" s="415" t="s">
        <v>1412</v>
      </c>
      <c r="B63" s="173" t="s">
        <v>691</v>
      </c>
      <c r="C63" s="173" t="s">
        <v>9</v>
      </c>
      <c r="D63" s="173">
        <f>CEILING(15.8*23,1)</f>
        <v>364</v>
      </c>
      <c r="E63" s="173"/>
      <c r="F63" s="158"/>
      <c r="G63" s="175"/>
    </row>
    <row r="64" spans="1:198" s="176" customFormat="1" ht="15.6">
      <c r="A64" s="415" t="s">
        <v>1413</v>
      </c>
      <c r="B64" s="173" t="s">
        <v>327</v>
      </c>
      <c r="C64" s="173" t="s">
        <v>9</v>
      </c>
      <c r="D64" s="173">
        <f>CEILING(34.8*8,1)</f>
        <v>279</v>
      </c>
      <c r="E64" s="173"/>
      <c r="F64" s="158"/>
      <c r="G64" s="175"/>
    </row>
    <row r="65" spans="1:7" s="176" customFormat="1" ht="15.6">
      <c r="A65" s="415" t="s">
        <v>1414</v>
      </c>
      <c r="B65" s="173" t="s">
        <v>347</v>
      </c>
      <c r="C65" s="173" t="s">
        <v>9</v>
      </c>
      <c r="D65" s="173">
        <f>CEILING(87.6,1)</f>
        <v>88</v>
      </c>
      <c r="E65" s="173"/>
      <c r="F65" s="158"/>
      <c r="G65" s="175"/>
    </row>
    <row r="66" spans="1:7" s="176" customFormat="1" ht="15.6">
      <c r="A66" s="416" t="s">
        <v>1415</v>
      </c>
      <c r="B66" s="173" t="s">
        <v>609</v>
      </c>
      <c r="C66" s="173" t="s">
        <v>9</v>
      </c>
      <c r="D66" s="173">
        <f>CEILING(23*3*0.5,1)</f>
        <v>35</v>
      </c>
      <c r="E66" s="173"/>
      <c r="F66" s="158"/>
      <c r="G66" s="175"/>
    </row>
    <row r="67" spans="1:7" s="176" customFormat="1" ht="15.6">
      <c r="A67" s="415" t="s">
        <v>1416</v>
      </c>
      <c r="B67" s="173" t="s">
        <v>502</v>
      </c>
      <c r="C67" s="173" t="s">
        <v>9</v>
      </c>
      <c r="D67" s="173">
        <v>35</v>
      </c>
      <c r="E67" s="173"/>
      <c r="F67" s="158"/>
      <c r="G67" s="175"/>
    </row>
    <row r="68" spans="1:7" s="176" customFormat="1" ht="15.6">
      <c r="A68" s="791"/>
      <c r="B68" s="792"/>
      <c r="C68" s="792"/>
      <c r="D68" s="792"/>
      <c r="E68" s="792"/>
      <c r="F68" s="793"/>
      <c r="G68" s="175"/>
    </row>
    <row r="69" spans="1:7" ht="15.6">
      <c r="A69" s="416" t="s">
        <v>11</v>
      </c>
      <c r="B69" s="177" t="s">
        <v>525</v>
      </c>
      <c r="C69" s="173" t="s">
        <v>11</v>
      </c>
      <c r="D69" s="173" t="s">
        <v>11</v>
      </c>
      <c r="E69" s="173"/>
      <c r="F69" s="179"/>
    </row>
    <row r="70" spans="1:7" ht="15.6">
      <c r="A70" s="416" t="s">
        <v>1417</v>
      </c>
      <c r="B70" s="173" t="s">
        <v>526</v>
      </c>
      <c r="C70" s="173" t="s">
        <v>11</v>
      </c>
      <c r="D70" s="173" t="s">
        <v>11</v>
      </c>
      <c r="E70" s="173"/>
      <c r="F70" s="179"/>
    </row>
    <row r="71" spans="1:7" ht="15.6">
      <c r="A71" s="416" t="s">
        <v>1418</v>
      </c>
      <c r="B71" s="173" t="s">
        <v>610</v>
      </c>
      <c r="C71" s="173" t="s">
        <v>8</v>
      </c>
      <c r="D71" s="173">
        <f>CEILING(357.8-313,1)</f>
        <v>45</v>
      </c>
      <c r="E71" s="173"/>
      <c r="F71" s="179"/>
    </row>
    <row r="72" spans="1:7" ht="15.6">
      <c r="A72" s="416" t="s">
        <v>1419</v>
      </c>
      <c r="B72" s="173" t="s">
        <v>527</v>
      </c>
      <c r="C72" s="173" t="s">
        <v>9</v>
      </c>
      <c r="D72" s="173">
        <v>92</v>
      </c>
      <c r="E72" s="173"/>
      <c r="F72" s="179"/>
    </row>
    <row r="73" spans="1:7" ht="15.6">
      <c r="A73" s="417" t="s">
        <v>11</v>
      </c>
      <c r="B73" s="162" t="s">
        <v>303</v>
      </c>
      <c r="C73" s="173" t="s">
        <v>11</v>
      </c>
      <c r="D73" s="173" t="s">
        <v>11</v>
      </c>
      <c r="E73" s="173"/>
      <c r="F73" s="179"/>
    </row>
    <row r="74" spans="1:7" ht="31.2">
      <c r="A74" s="417" t="s">
        <v>1420</v>
      </c>
      <c r="B74" s="173" t="s">
        <v>611</v>
      </c>
      <c r="C74" s="173" t="s">
        <v>8</v>
      </c>
      <c r="D74" s="173">
        <f>D71</f>
        <v>45</v>
      </c>
      <c r="E74" s="173"/>
      <c r="F74" s="179"/>
    </row>
    <row r="75" spans="1:7" ht="31.2">
      <c r="A75" s="417" t="s">
        <v>1421</v>
      </c>
      <c r="B75" s="173" t="s">
        <v>528</v>
      </c>
      <c r="C75" s="173" t="s">
        <v>9</v>
      </c>
      <c r="D75" s="173">
        <f>D72</f>
        <v>92</v>
      </c>
      <c r="E75" s="173"/>
      <c r="F75" s="179"/>
    </row>
    <row r="76" spans="1:7" ht="15.6">
      <c r="A76" s="417" t="s">
        <v>11</v>
      </c>
      <c r="B76" s="177" t="s">
        <v>503</v>
      </c>
      <c r="C76" s="173" t="s">
        <v>11</v>
      </c>
      <c r="D76" s="173" t="s">
        <v>11</v>
      </c>
      <c r="E76" s="173"/>
      <c r="F76" s="179"/>
    </row>
    <row r="77" spans="1:7" ht="31.2">
      <c r="A77" s="417" t="s">
        <v>1422</v>
      </c>
      <c r="B77" s="173" t="s">
        <v>612</v>
      </c>
      <c r="C77" s="173" t="s">
        <v>9</v>
      </c>
      <c r="D77" s="173">
        <f>D75</f>
        <v>92</v>
      </c>
      <c r="E77" s="173"/>
      <c r="F77" s="179"/>
    </row>
    <row r="78" spans="1:7" ht="15.6">
      <c r="A78" s="416" t="s">
        <v>11</v>
      </c>
      <c r="B78" s="177" t="s">
        <v>490</v>
      </c>
      <c r="C78" s="173" t="s">
        <v>11</v>
      </c>
      <c r="D78" s="173" t="s">
        <v>11</v>
      </c>
      <c r="E78" s="173"/>
      <c r="F78" s="179"/>
    </row>
    <row r="79" spans="1:7" ht="31.2">
      <c r="A79" s="416" t="s">
        <v>1423</v>
      </c>
      <c r="B79" s="173" t="s">
        <v>348</v>
      </c>
      <c r="C79" s="173" t="s">
        <v>9</v>
      </c>
      <c r="D79" s="173">
        <f>5*3</f>
        <v>15</v>
      </c>
      <c r="E79" s="173"/>
      <c r="F79" s="179"/>
    </row>
    <row r="80" spans="1:7" ht="15.6">
      <c r="A80" s="416" t="s">
        <v>1424</v>
      </c>
      <c r="B80" s="173" t="s">
        <v>504</v>
      </c>
      <c r="C80" s="173" t="s">
        <v>305</v>
      </c>
      <c r="D80" s="173">
        <v>8</v>
      </c>
      <c r="E80" s="173"/>
      <c r="F80" s="179"/>
    </row>
    <row r="81" spans="1:6" ht="15.6">
      <c r="A81" s="416" t="s">
        <v>1425</v>
      </c>
      <c r="B81" s="173" t="s">
        <v>505</v>
      </c>
      <c r="C81" s="173" t="s">
        <v>305</v>
      </c>
      <c r="D81" s="173">
        <f>D80</f>
        <v>8</v>
      </c>
      <c r="E81" s="173"/>
      <c r="F81" s="179"/>
    </row>
    <row r="82" spans="1:6" ht="15.6">
      <c r="A82" s="416" t="s">
        <v>1426</v>
      </c>
      <c r="B82" s="173" t="s">
        <v>506</v>
      </c>
      <c r="C82" s="173" t="s">
        <v>11</v>
      </c>
      <c r="D82" s="173" t="s">
        <v>11</v>
      </c>
      <c r="E82" s="173"/>
      <c r="F82" s="179"/>
    </row>
    <row r="83" spans="1:6" ht="15.6">
      <c r="A83" s="416" t="s">
        <v>1427</v>
      </c>
      <c r="B83" s="173" t="s">
        <v>613</v>
      </c>
      <c r="C83" s="173" t="s">
        <v>9</v>
      </c>
      <c r="D83" s="173">
        <f>D77</f>
        <v>92</v>
      </c>
      <c r="E83" s="173"/>
      <c r="F83" s="179"/>
    </row>
    <row r="84" spans="1:6" ht="15.6">
      <c r="A84" s="1096"/>
      <c r="B84" s="1090"/>
      <c r="C84" s="1090"/>
      <c r="D84" s="1090"/>
      <c r="E84" s="1090"/>
      <c r="F84" s="1091"/>
    </row>
    <row r="85" spans="1:6" ht="15.6">
      <c r="A85" s="416"/>
      <c r="B85" s="761" t="s">
        <v>1002</v>
      </c>
      <c r="C85" s="219"/>
      <c r="D85" s="220"/>
      <c r="E85" s="221"/>
      <c r="F85" s="216"/>
    </row>
    <row r="86" spans="1:6" ht="15.6">
      <c r="A86" s="1089"/>
      <c r="B86" s="1037"/>
      <c r="C86" s="1053"/>
      <c r="D86" s="1054"/>
      <c r="E86" s="1055"/>
      <c r="F86" s="1092"/>
    </row>
    <row r="87" spans="1:6" ht="15.6">
      <c r="A87" s="760">
        <v>9.4</v>
      </c>
      <c r="B87" s="202" t="s">
        <v>1450</v>
      </c>
      <c r="C87" s="763"/>
      <c r="D87" s="763"/>
      <c r="E87" s="764"/>
      <c r="F87" s="765"/>
    </row>
    <row r="88" spans="1:6" ht="46.8">
      <c r="A88" s="418" t="s">
        <v>1428</v>
      </c>
      <c r="B88" s="173" t="s">
        <v>1758</v>
      </c>
      <c r="C88" s="180" t="s">
        <v>305</v>
      </c>
      <c r="D88" s="180">
        <v>5</v>
      </c>
      <c r="E88" s="180"/>
      <c r="F88" s="179"/>
    </row>
    <row r="89" spans="1:6" ht="15.6">
      <c r="A89" s="418" t="s">
        <v>1429</v>
      </c>
      <c r="B89" s="435" t="s">
        <v>620</v>
      </c>
      <c r="C89" s="436" t="s">
        <v>621</v>
      </c>
      <c r="D89" s="436">
        <f>CEILING(D88*3/2,1)</f>
        <v>8</v>
      </c>
      <c r="E89" s="436"/>
      <c r="F89" s="437"/>
    </row>
    <row r="90" spans="1:6" ht="15.6">
      <c r="A90" s="418" t="s">
        <v>1451</v>
      </c>
      <c r="B90" s="173" t="s">
        <v>622</v>
      </c>
      <c r="C90" s="180" t="s">
        <v>305</v>
      </c>
      <c r="D90" s="180">
        <v>5</v>
      </c>
      <c r="E90" s="180"/>
      <c r="F90" s="179"/>
    </row>
    <row r="91" spans="1:6" ht="15.6">
      <c r="A91" s="418"/>
      <c r="B91" s="177" t="s">
        <v>623</v>
      </c>
      <c r="C91" s="180" t="s">
        <v>11</v>
      </c>
      <c r="D91" s="180" t="s">
        <v>11</v>
      </c>
      <c r="E91" s="180"/>
      <c r="F91" s="179"/>
    </row>
    <row r="92" spans="1:6" ht="15.6">
      <c r="A92" s="418" t="s">
        <v>1452</v>
      </c>
      <c r="B92" s="173" t="s">
        <v>1759</v>
      </c>
      <c r="C92" s="180" t="s">
        <v>329</v>
      </c>
      <c r="D92" s="180" t="s">
        <v>468</v>
      </c>
      <c r="E92" s="180"/>
      <c r="F92" s="179"/>
    </row>
    <row r="93" spans="1:6" ht="15.6">
      <c r="A93" s="1093"/>
      <c r="B93" s="761" t="s">
        <v>1002</v>
      </c>
      <c r="C93" s="219"/>
      <c r="D93" s="220"/>
      <c r="E93" s="221"/>
      <c r="F93" s="216"/>
    </row>
    <row r="94" spans="1:6" ht="15.6">
      <c r="A94" s="1093"/>
      <c r="B94" s="1088"/>
      <c r="C94" s="1094"/>
      <c r="D94" s="1094"/>
      <c r="E94" s="1094"/>
      <c r="F94" s="1095"/>
    </row>
    <row r="95" spans="1:6" ht="15.6">
      <c r="A95" s="760">
        <v>9.5</v>
      </c>
      <c r="B95" s="202" t="s">
        <v>1453</v>
      </c>
      <c r="C95" s="1094"/>
      <c r="D95" s="1094"/>
      <c r="E95" s="1094"/>
      <c r="F95" s="1095"/>
    </row>
    <row r="96" spans="1:6" ht="31.2">
      <c r="A96" s="418" t="s">
        <v>1430</v>
      </c>
      <c r="B96" s="164" t="s">
        <v>625</v>
      </c>
      <c r="C96" s="163" t="s">
        <v>304</v>
      </c>
      <c r="D96" s="165">
        <v>7</v>
      </c>
      <c r="E96" s="157"/>
      <c r="F96" s="179"/>
    </row>
    <row r="97" spans="1:198" ht="15.6">
      <c r="A97" s="1093"/>
      <c r="B97" s="761" t="s">
        <v>1002</v>
      </c>
      <c r="C97" s="219"/>
      <c r="D97" s="220"/>
      <c r="E97" s="221"/>
      <c r="F97" s="216"/>
    </row>
    <row r="98" spans="1:198" ht="15.6">
      <c r="A98" s="1093"/>
      <c r="B98" s="761"/>
      <c r="C98" s="1053"/>
      <c r="D98" s="1054"/>
      <c r="E98" s="1055"/>
      <c r="F98" s="1092"/>
    </row>
    <row r="99" spans="1:198" s="176" customFormat="1" ht="15.6">
      <c r="A99" s="545"/>
      <c r="B99" s="546" t="s">
        <v>1710</v>
      </c>
      <c r="C99" s="547"/>
      <c r="D99" s="547"/>
      <c r="E99" s="547"/>
      <c r="F99" s="576"/>
      <c r="G99" s="175"/>
    </row>
    <row r="100" spans="1:198" s="176" customFormat="1" ht="15.6">
      <c r="A100" s="550" t="s">
        <v>1760</v>
      </c>
      <c r="B100" s="546" t="s">
        <v>908</v>
      </c>
      <c r="C100" s="547"/>
      <c r="D100" s="547"/>
      <c r="E100" s="547"/>
      <c r="F100" s="576"/>
      <c r="G100" s="175"/>
    </row>
    <row r="101" spans="1:198" s="176" customFormat="1" ht="15.6">
      <c r="A101" s="548"/>
      <c r="B101" s="551" t="s">
        <v>1767</v>
      </c>
      <c r="C101" s="547"/>
      <c r="D101" s="547"/>
      <c r="E101" s="547"/>
      <c r="F101" s="576"/>
      <c r="G101" s="175"/>
    </row>
    <row r="102" spans="1:198" s="176" customFormat="1" ht="16.2">
      <c r="A102" s="548" t="s">
        <v>1761</v>
      </c>
      <c r="B102" s="549" t="s">
        <v>912</v>
      </c>
      <c r="C102" s="547" t="s">
        <v>500</v>
      </c>
      <c r="D102" s="547">
        <v>94</v>
      </c>
      <c r="E102" s="547"/>
      <c r="F102" s="576"/>
      <c r="G102" s="175"/>
    </row>
    <row r="103" spans="1:198" s="176" customFormat="1" ht="15.6">
      <c r="A103" s="548" t="s">
        <v>1762</v>
      </c>
      <c r="B103" s="549" t="s">
        <v>1768</v>
      </c>
      <c r="C103" s="547" t="s">
        <v>325</v>
      </c>
      <c r="D103" s="547">
        <v>18</v>
      </c>
      <c r="E103" s="547"/>
      <c r="F103" s="576"/>
      <c r="G103" s="175"/>
    </row>
    <row r="104" spans="1:198" s="171" customFormat="1" ht="15.6">
      <c r="A104" s="548" t="s">
        <v>1769</v>
      </c>
      <c r="B104" s="549" t="s">
        <v>1770</v>
      </c>
      <c r="C104" s="547"/>
      <c r="D104" s="547"/>
      <c r="E104" s="547"/>
      <c r="F104" s="576"/>
      <c r="G104" s="169"/>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0"/>
      <c r="AZ104" s="170"/>
      <c r="BA104" s="170"/>
      <c r="BB104" s="170"/>
      <c r="BC104" s="170"/>
      <c r="BD104" s="170"/>
      <c r="BE104" s="170"/>
      <c r="BF104" s="170"/>
      <c r="BG104" s="170"/>
      <c r="BH104" s="170"/>
      <c r="BI104" s="170"/>
      <c r="BJ104" s="170"/>
      <c r="BK104" s="170"/>
      <c r="BL104" s="170"/>
      <c r="BM104" s="170"/>
      <c r="BN104" s="170"/>
      <c r="BO104" s="170"/>
      <c r="BP104" s="170"/>
      <c r="BQ104" s="170"/>
      <c r="BR104" s="170"/>
      <c r="BS104" s="170"/>
      <c r="BT104" s="170"/>
      <c r="BU104" s="170"/>
      <c r="BV104" s="170"/>
      <c r="BW104" s="170"/>
      <c r="BX104" s="170"/>
      <c r="BY104" s="170"/>
      <c r="BZ104" s="170"/>
      <c r="CA104" s="170"/>
      <c r="CB104" s="170"/>
      <c r="CC104" s="170"/>
      <c r="CD104" s="170"/>
      <c r="CE104" s="170"/>
      <c r="CF104" s="170"/>
      <c r="CG104" s="170"/>
      <c r="CH104" s="170"/>
      <c r="CI104" s="170"/>
      <c r="CJ104" s="170"/>
      <c r="CK104" s="170"/>
      <c r="CL104" s="170"/>
      <c r="CM104" s="170"/>
      <c r="CN104" s="170"/>
      <c r="CO104" s="170"/>
      <c r="CP104" s="170"/>
      <c r="CQ104" s="170"/>
      <c r="CR104" s="170"/>
      <c r="CS104" s="170"/>
      <c r="CT104" s="170"/>
      <c r="CU104" s="170"/>
      <c r="CV104" s="170"/>
      <c r="CW104" s="170"/>
      <c r="CX104" s="170"/>
      <c r="CY104" s="170"/>
      <c r="CZ104" s="170"/>
      <c r="DA104" s="170"/>
      <c r="DB104" s="170"/>
      <c r="DC104" s="170"/>
      <c r="DD104" s="170"/>
      <c r="DE104" s="170"/>
      <c r="DF104" s="170"/>
      <c r="DG104" s="170"/>
      <c r="DH104" s="170"/>
      <c r="DI104" s="170"/>
      <c r="DJ104" s="170"/>
      <c r="DK104" s="170"/>
      <c r="DL104" s="170"/>
      <c r="DM104" s="170"/>
      <c r="DN104" s="170"/>
      <c r="DO104" s="170"/>
      <c r="DP104" s="170"/>
      <c r="DQ104" s="170"/>
      <c r="DR104" s="170"/>
      <c r="DS104" s="170"/>
      <c r="DT104" s="170"/>
      <c r="DU104" s="170"/>
      <c r="DV104" s="170"/>
      <c r="DW104" s="170"/>
      <c r="DX104" s="170"/>
      <c r="DY104" s="170"/>
      <c r="DZ104" s="170"/>
      <c r="EA104" s="170"/>
      <c r="EB104" s="170"/>
      <c r="EC104" s="170"/>
      <c r="ED104" s="170"/>
      <c r="EE104" s="170"/>
      <c r="EF104" s="170"/>
      <c r="EG104" s="170"/>
      <c r="EH104" s="170"/>
      <c r="EI104" s="170"/>
      <c r="EJ104" s="170"/>
      <c r="EK104" s="170"/>
      <c r="EL104" s="170"/>
      <c r="EM104" s="170"/>
      <c r="EN104" s="170"/>
      <c r="EO104" s="170"/>
      <c r="EP104" s="170"/>
      <c r="EQ104" s="170"/>
      <c r="ER104" s="170"/>
      <c r="ES104" s="170"/>
      <c r="ET104" s="170"/>
      <c r="EU104" s="170"/>
      <c r="EV104" s="170"/>
      <c r="EW104" s="170"/>
      <c r="EX104" s="170"/>
      <c r="EY104" s="170"/>
      <c r="EZ104" s="170"/>
      <c r="FA104" s="170"/>
      <c r="FB104" s="170"/>
      <c r="FC104" s="170"/>
      <c r="FD104" s="170"/>
      <c r="FE104" s="170"/>
      <c r="FF104" s="170"/>
      <c r="FG104" s="170"/>
      <c r="FH104" s="170"/>
      <c r="FI104" s="170"/>
      <c r="FJ104" s="170"/>
      <c r="FK104" s="170"/>
      <c r="FL104" s="170"/>
      <c r="FM104" s="170"/>
      <c r="FN104" s="170"/>
      <c r="FO104" s="170"/>
      <c r="FP104" s="170"/>
      <c r="FQ104" s="170"/>
      <c r="FR104" s="170"/>
      <c r="FS104" s="170"/>
      <c r="FT104" s="170"/>
      <c r="FU104" s="170"/>
      <c r="FV104" s="170"/>
      <c r="FW104" s="170"/>
      <c r="FX104" s="170"/>
      <c r="FY104" s="170"/>
      <c r="FZ104" s="170"/>
      <c r="GA104" s="170"/>
      <c r="GB104" s="170"/>
      <c r="GC104" s="170"/>
      <c r="GD104" s="170"/>
      <c r="GE104" s="170"/>
      <c r="GF104" s="170"/>
      <c r="GG104" s="170"/>
      <c r="GH104" s="170"/>
      <c r="GI104" s="170"/>
      <c r="GJ104" s="170"/>
      <c r="GK104" s="170"/>
      <c r="GL104" s="170"/>
      <c r="GM104" s="170"/>
      <c r="GN104" s="170"/>
      <c r="GO104" s="170"/>
      <c r="GP104" s="170"/>
    </row>
    <row r="105" spans="1:198" s="161" customFormat="1" ht="15.6">
      <c r="A105" s="545">
        <v>9.2200000000000006</v>
      </c>
      <c r="B105" s="546" t="s">
        <v>917</v>
      </c>
      <c r="C105" s="547"/>
      <c r="D105" s="547"/>
      <c r="E105" s="547"/>
      <c r="F105" s="576"/>
      <c r="G105" s="159"/>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0"/>
      <c r="BM105" s="160"/>
      <c r="BN105" s="160"/>
      <c r="BO105" s="160"/>
      <c r="BP105" s="160"/>
      <c r="BQ105" s="160"/>
      <c r="BR105" s="160"/>
      <c r="BS105" s="160"/>
      <c r="BT105" s="160"/>
      <c r="BU105" s="160"/>
      <c r="BV105" s="160"/>
      <c r="BW105" s="160"/>
      <c r="BX105" s="160"/>
      <c r="BY105" s="160"/>
      <c r="BZ105" s="160"/>
      <c r="CA105" s="160"/>
      <c r="CB105" s="160"/>
      <c r="CC105" s="160"/>
      <c r="CD105" s="160"/>
      <c r="CE105" s="160"/>
      <c r="CF105" s="160"/>
      <c r="CG105" s="160"/>
      <c r="CH105" s="160"/>
      <c r="CI105" s="160"/>
      <c r="CJ105" s="160"/>
      <c r="CK105" s="160"/>
      <c r="CL105" s="160"/>
      <c r="CM105" s="160"/>
      <c r="CN105" s="160"/>
      <c r="CO105" s="160"/>
      <c r="CP105" s="160"/>
      <c r="CQ105" s="160"/>
      <c r="CR105" s="160"/>
      <c r="CS105" s="160"/>
      <c r="CT105" s="160"/>
      <c r="CU105" s="160"/>
      <c r="CV105" s="160"/>
      <c r="CW105" s="160"/>
      <c r="CX105" s="160"/>
      <c r="CY105" s="160"/>
      <c r="CZ105" s="160"/>
      <c r="DA105" s="160"/>
      <c r="DB105" s="160"/>
      <c r="DC105" s="160"/>
      <c r="DD105" s="160"/>
      <c r="DE105" s="160"/>
      <c r="DF105" s="160"/>
      <c r="DG105" s="160"/>
      <c r="DH105" s="160"/>
      <c r="DI105" s="160"/>
      <c r="DJ105" s="160"/>
      <c r="DK105" s="160"/>
      <c r="DL105" s="160"/>
      <c r="DM105" s="160"/>
      <c r="DN105" s="160"/>
      <c r="DO105" s="160"/>
      <c r="DP105" s="160"/>
      <c r="DQ105" s="160"/>
      <c r="DR105" s="160"/>
      <c r="DS105" s="160"/>
      <c r="DT105" s="160"/>
      <c r="DU105" s="160"/>
      <c r="DV105" s="160"/>
      <c r="DW105" s="160"/>
      <c r="DX105" s="160"/>
      <c r="DY105" s="160"/>
      <c r="DZ105" s="160"/>
      <c r="EA105" s="160"/>
      <c r="EB105" s="160"/>
      <c r="EC105" s="160"/>
      <c r="ED105" s="160"/>
      <c r="EE105" s="160"/>
      <c r="EF105" s="160"/>
      <c r="EG105" s="160"/>
      <c r="EH105" s="160"/>
      <c r="EI105" s="160"/>
      <c r="EJ105" s="160"/>
      <c r="EK105" s="160"/>
      <c r="EL105" s="160"/>
      <c r="EM105" s="160"/>
      <c r="EN105" s="160"/>
      <c r="EO105" s="160"/>
      <c r="EP105" s="160"/>
      <c r="EQ105" s="160"/>
      <c r="ER105" s="160"/>
      <c r="ES105" s="160"/>
      <c r="ET105" s="160"/>
      <c r="EU105" s="160"/>
      <c r="EV105" s="160"/>
      <c r="EW105" s="160"/>
      <c r="EX105" s="160"/>
      <c r="EY105" s="160"/>
      <c r="EZ105" s="160"/>
      <c r="FA105" s="160"/>
      <c r="FB105" s="160"/>
      <c r="FC105" s="160"/>
      <c r="FD105" s="160"/>
      <c r="FE105" s="160"/>
      <c r="FF105" s="160"/>
      <c r="FG105" s="160"/>
      <c r="FH105" s="160"/>
      <c r="FI105" s="160"/>
      <c r="FJ105" s="160"/>
      <c r="FK105" s="160"/>
      <c r="FL105" s="160"/>
      <c r="FM105" s="160"/>
      <c r="FN105" s="160"/>
      <c r="FO105" s="160"/>
      <c r="FP105" s="160"/>
      <c r="FQ105" s="160"/>
      <c r="FR105" s="160"/>
      <c r="FS105" s="160"/>
      <c r="FT105" s="160"/>
      <c r="FU105" s="160"/>
      <c r="FV105" s="160"/>
      <c r="FW105" s="160"/>
      <c r="FX105" s="160"/>
      <c r="FY105" s="160"/>
      <c r="FZ105" s="160"/>
      <c r="GA105" s="160"/>
      <c r="GB105" s="160"/>
      <c r="GC105" s="160"/>
      <c r="GD105" s="160"/>
      <c r="GE105" s="160"/>
      <c r="GF105" s="160"/>
      <c r="GG105" s="160"/>
      <c r="GH105" s="160"/>
      <c r="GI105" s="160"/>
      <c r="GJ105" s="160"/>
      <c r="GK105" s="160"/>
      <c r="GL105" s="160"/>
      <c r="GM105" s="160"/>
      <c r="GN105" s="160"/>
      <c r="GO105" s="160"/>
      <c r="GP105" s="160"/>
    </row>
    <row r="106" spans="1:198" s="171" customFormat="1" ht="15.6">
      <c r="A106" s="552"/>
      <c r="B106" s="551" t="s">
        <v>918</v>
      </c>
      <c r="C106" s="547"/>
      <c r="D106" s="547"/>
      <c r="E106" s="547"/>
      <c r="F106" s="576"/>
      <c r="G106" s="169"/>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c r="AY106" s="170"/>
      <c r="AZ106" s="170"/>
      <c r="BA106" s="170"/>
      <c r="BB106" s="170"/>
      <c r="BC106" s="170"/>
      <c r="BD106" s="170"/>
      <c r="BE106" s="170"/>
      <c r="BF106" s="170"/>
      <c r="BG106" s="170"/>
      <c r="BH106" s="170"/>
      <c r="BI106" s="170"/>
      <c r="BJ106" s="170"/>
      <c r="BK106" s="170"/>
      <c r="BL106" s="170"/>
      <c r="BM106" s="170"/>
      <c r="BN106" s="170"/>
      <c r="BO106" s="170"/>
      <c r="BP106" s="170"/>
      <c r="BQ106" s="170"/>
      <c r="BR106" s="170"/>
      <c r="BS106" s="170"/>
      <c r="BT106" s="170"/>
      <c r="BU106" s="170"/>
      <c r="BV106" s="170"/>
      <c r="BW106" s="170"/>
      <c r="BX106" s="170"/>
      <c r="BY106" s="170"/>
      <c r="BZ106" s="170"/>
      <c r="CA106" s="170"/>
      <c r="CB106" s="170"/>
      <c r="CC106" s="170"/>
      <c r="CD106" s="170"/>
      <c r="CE106" s="170"/>
      <c r="CF106" s="170"/>
      <c r="CG106" s="170"/>
      <c r="CH106" s="170"/>
      <c r="CI106" s="170"/>
      <c r="CJ106" s="170"/>
      <c r="CK106" s="170"/>
      <c r="CL106" s="170"/>
      <c r="CM106" s="170"/>
      <c r="CN106" s="170"/>
      <c r="CO106" s="170"/>
      <c r="CP106" s="170"/>
      <c r="CQ106" s="170"/>
      <c r="CR106" s="170"/>
      <c r="CS106" s="170"/>
      <c r="CT106" s="170"/>
      <c r="CU106" s="170"/>
      <c r="CV106" s="170"/>
      <c r="CW106" s="170"/>
      <c r="CX106" s="170"/>
      <c r="CY106" s="170"/>
      <c r="CZ106" s="170"/>
      <c r="DA106" s="170"/>
      <c r="DB106" s="170"/>
      <c r="DC106" s="170"/>
      <c r="DD106" s="170"/>
      <c r="DE106" s="170"/>
      <c r="DF106" s="170"/>
      <c r="DG106" s="170"/>
      <c r="DH106" s="170"/>
      <c r="DI106" s="170"/>
      <c r="DJ106" s="170"/>
      <c r="DK106" s="170"/>
      <c r="DL106" s="170"/>
      <c r="DM106" s="170"/>
      <c r="DN106" s="170"/>
      <c r="DO106" s="170"/>
      <c r="DP106" s="170"/>
      <c r="DQ106" s="170"/>
      <c r="DR106" s="170"/>
      <c r="DS106" s="170"/>
      <c r="DT106" s="170"/>
      <c r="DU106" s="170"/>
      <c r="DV106" s="170"/>
      <c r="DW106" s="170"/>
      <c r="DX106" s="170"/>
      <c r="DY106" s="170"/>
      <c r="DZ106" s="170"/>
      <c r="EA106" s="170"/>
      <c r="EB106" s="170"/>
      <c r="EC106" s="170"/>
      <c r="ED106" s="170"/>
      <c r="EE106" s="170"/>
      <c r="EF106" s="170"/>
      <c r="EG106" s="170"/>
      <c r="EH106" s="170"/>
      <c r="EI106" s="170"/>
      <c r="EJ106" s="170"/>
      <c r="EK106" s="170"/>
      <c r="EL106" s="170"/>
      <c r="EM106" s="170"/>
      <c r="EN106" s="170"/>
      <c r="EO106" s="170"/>
      <c r="EP106" s="170"/>
      <c r="EQ106" s="170"/>
      <c r="ER106" s="170"/>
      <c r="ES106" s="170"/>
      <c r="ET106" s="170"/>
      <c r="EU106" s="170"/>
      <c r="EV106" s="170"/>
      <c r="EW106" s="170"/>
      <c r="EX106" s="170"/>
      <c r="EY106" s="170"/>
      <c r="EZ106" s="170"/>
      <c r="FA106" s="170"/>
      <c r="FB106" s="170"/>
      <c r="FC106" s="170"/>
      <c r="FD106" s="170"/>
      <c r="FE106" s="170"/>
      <c r="FF106" s="170"/>
      <c r="FG106" s="170"/>
      <c r="FH106" s="170"/>
      <c r="FI106" s="170"/>
      <c r="FJ106" s="170"/>
      <c r="FK106" s="170"/>
      <c r="FL106" s="170"/>
      <c r="FM106" s="170"/>
      <c r="FN106" s="170"/>
      <c r="FO106" s="170"/>
      <c r="FP106" s="170"/>
      <c r="FQ106" s="170"/>
      <c r="FR106" s="170"/>
      <c r="FS106" s="170"/>
      <c r="FT106" s="170"/>
      <c r="FU106" s="170"/>
      <c r="FV106" s="170"/>
      <c r="FW106" s="170"/>
      <c r="FX106" s="170"/>
      <c r="FY106" s="170"/>
      <c r="FZ106" s="170"/>
      <c r="GA106" s="170"/>
      <c r="GB106" s="170"/>
      <c r="GC106" s="170"/>
      <c r="GD106" s="170"/>
      <c r="GE106" s="170"/>
      <c r="GF106" s="170"/>
      <c r="GG106" s="170"/>
      <c r="GH106" s="170"/>
      <c r="GI106" s="170"/>
      <c r="GJ106" s="170"/>
      <c r="GK106" s="170"/>
      <c r="GL106" s="170"/>
      <c r="GM106" s="170"/>
      <c r="GN106" s="170"/>
      <c r="GO106" s="170"/>
      <c r="GP106" s="170"/>
    </row>
    <row r="107" spans="1:198" s="176" customFormat="1" ht="15.6">
      <c r="A107" s="548"/>
      <c r="B107" s="551" t="s">
        <v>919</v>
      </c>
      <c r="C107" s="547"/>
      <c r="D107" s="547"/>
      <c r="E107" s="547"/>
      <c r="F107" s="576"/>
      <c r="G107" s="175"/>
    </row>
    <row r="108" spans="1:198" s="176" customFormat="1" ht="16.2">
      <c r="A108" s="548" t="s">
        <v>1763</v>
      </c>
      <c r="B108" s="549" t="s">
        <v>1772</v>
      </c>
      <c r="C108" s="547" t="s">
        <v>500</v>
      </c>
      <c r="D108" s="547">
        <v>54</v>
      </c>
      <c r="E108" s="547"/>
      <c r="F108" s="576"/>
      <c r="G108" s="175"/>
    </row>
    <row r="109" spans="1:198" s="176" customFormat="1" ht="16.2">
      <c r="A109" s="548" t="s">
        <v>1773</v>
      </c>
      <c r="B109" s="549" t="s">
        <v>1775</v>
      </c>
      <c r="C109" s="547" t="s">
        <v>500</v>
      </c>
      <c r="D109" s="547">
        <v>141</v>
      </c>
      <c r="E109" s="547"/>
      <c r="F109" s="576"/>
      <c r="G109" s="175"/>
    </row>
    <row r="110" spans="1:198" s="176" customFormat="1" ht="16.2">
      <c r="A110" s="548" t="s">
        <v>1774</v>
      </c>
      <c r="B110" s="549" t="s">
        <v>1771</v>
      </c>
      <c r="C110" s="547" t="s">
        <v>500</v>
      </c>
      <c r="D110" s="547">
        <f>D102</f>
        <v>94</v>
      </c>
      <c r="E110" s="547"/>
      <c r="F110" s="576"/>
      <c r="G110" s="175"/>
    </row>
    <row r="111" spans="1:198" s="176" customFormat="1" ht="15.6">
      <c r="A111" s="545">
        <v>9.24</v>
      </c>
      <c r="B111" s="546" t="s">
        <v>921</v>
      </c>
      <c r="C111" s="547"/>
      <c r="D111" s="547"/>
      <c r="E111" s="547"/>
      <c r="F111" s="576"/>
      <c r="G111" s="175"/>
    </row>
    <row r="112" spans="1:198" s="182" customFormat="1" ht="15.6">
      <c r="A112" s="552"/>
      <c r="B112" s="551" t="s">
        <v>922</v>
      </c>
      <c r="C112" s="547"/>
      <c r="D112" s="547"/>
      <c r="E112" s="547"/>
      <c r="F112" s="576"/>
      <c r="G112" s="181"/>
    </row>
    <row r="113" spans="1:7" s="184" customFormat="1">
      <c r="A113" s="548"/>
      <c r="B113" s="551" t="s">
        <v>923</v>
      </c>
      <c r="C113" s="547"/>
      <c r="D113" s="547"/>
      <c r="E113" s="547"/>
      <c r="F113" s="576"/>
      <c r="G113" s="183"/>
    </row>
    <row r="114" spans="1:7" s="52" customFormat="1" ht="16.2">
      <c r="A114" s="553" t="s">
        <v>1764</v>
      </c>
      <c r="B114" s="554" t="s">
        <v>924</v>
      </c>
      <c r="C114" s="555" t="s">
        <v>925</v>
      </c>
      <c r="D114" s="555">
        <f>D108</f>
        <v>54</v>
      </c>
      <c r="E114" s="556"/>
      <c r="F114" s="576"/>
      <c r="G114" s="74"/>
    </row>
    <row r="115" spans="1:7" s="192" customFormat="1" ht="16.2">
      <c r="A115" s="553" t="s">
        <v>1765</v>
      </c>
      <c r="B115" s="554" t="s">
        <v>926</v>
      </c>
      <c r="C115" s="555" t="s">
        <v>925</v>
      </c>
      <c r="D115" s="555">
        <f>D109</f>
        <v>141</v>
      </c>
      <c r="E115" s="556"/>
      <c r="F115" s="576"/>
      <c r="G115" s="191"/>
    </row>
    <row r="116" spans="1:7" s="192" customFormat="1" ht="16.2">
      <c r="A116" s="553" t="s">
        <v>1766</v>
      </c>
      <c r="B116" s="554" t="s">
        <v>1777</v>
      </c>
      <c r="C116" s="555" t="s">
        <v>925</v>
      </c>
      <c r="D116" s="555">
        <f>D110</f>
        <v>94</v>
      </c>
      <c r="E116" s="556"/>
      <c r="F116" s="576"/>
      <c r="G116" s="191"/>
    </row>
    <row r="117" spans="1:7" s="192" customFormat="1" ht="15.6">
      <c r="A117" s="553"/>
      <c r="B117" s="554"/>
      <c r="C117" s="555"/>
      <c r="D117" s="555"/>
      <c r="E117" s="556"/>
      <c r="F117" s="576"/>
      <c r="G117" s="191"/>
    </row>
    <row r="118" spans="1:7" s="192" customFormat="1" ht="15.6">
      <c r="A118" s="553"/>
      <c r="B118" s="554"/>
      <c r="C118" s="555"/>
      <c r="D118" s="555"/>
      <c r="E118" s="556"/>
      <c r="F118" s="576"/>
      <c r="G118" s="191"/>
    </row>
    <row r="119" spans="1:7" s="1358" customFormat="1" ht="15.6">
      <c r="A119" s="1354"/>
      <c r="B119" s="1355" t="s">
        <v>1776</v>
      </c>
      <c r="C119" s="1356"/>
      <c r="D119" s="1356"/>
      <c r="E119" s="1357"/>
      <c r="F119" s="577"/>
      <c r="G119" s="211"/>
    </row>
    <row r="120" spans="1:7">
      <c r="A120" s="806" t="s">
        <v>260</v>
      </c>
      <c r="B120" s="807" t="s">
        <v>13</v>
      </c>
      <c r="C120" s="808" t="s">
        <v>330</v>
      </c>
      <c r="D120" s="809" t="s">
        <v>331</v>
      </c>
      <c r="E120" s="810" t="s">
        <v>332</v>
      </c>
      <c r="F120" s="811"/>
    </row>
    <row r="121" spans="1:7" ht="15.6">
      <c r="A121" s="760">
        <v>9.6</v>
      </c>
      <c r="B121" s="202" t="s">
        <v>1454</v>
      </c>
      <c r="C121" s="777"/>
      <c r="D121" s="778"/>
      <c r="E121" s="778"/>
      <c r="F121" s="765"/>
    </row>
    <row r="122" spans="1:7" ht="28.8">
      <c r="A122" s="784" t="s">
        <v>1455</v>
      </c>
      <c r="B122" s="769" t="s">
        <v>1001</v>
      </c>
      <c r="C122" s="770" t="s">
        <v>925</v>
      </c>
      <c r="D122" s="770">
        <f>CEILING((1.2*7+1.8*4)*0.3*5,1)</f>
        <v>24</v>
      </c>
      <c r="E122" s="775"/>
      <c r="F122" s="772"/>
    </row>
    <row r="123" spans="1:7">
      <c r="A123" s="766"/>
      <c r="B123" s="776"/>
      <c r="C123" s="777"/>
      <c r="D123" s="778"/>
      <c r="E123" s="778"/>
      <c r="F123" s="765"/>
    </row>
    <row r="124" spans="1:7">
      <c r="A124" s="766"/>
      <c r="B124" s="761" t="s">
        <v>1002</v>
      </c>
      <c r="C124" s="219"/>
      <c r="D124" s="220"/>
      <c r="E124" s="221"/>
      <c r="F124" s="216"/>
    </row>
    <row r="125" spans="1:7" ht="15.6">
      <c r="A125" s="185"/>
      <c r="B125" s="202"/>
      <c r="C125" s="195"/>
      <c r="D125" s="196"/>
      <c r="E125" s="195"/>
      <c r="F125" s="186"/>
    </row>
    <row r="126" spans="1:7" ht="15.6">
      <c r="A126" s="185"/>
      <c r="B126" s="202" t="s">
        <v>1011</v>
      </c>
      <c r="C126" s="195"/>
      <c r="D126" s="196"/>
      <c r="E126" s="195"/>
      <c r="F126" s="186"/>
    </row>
    <row r="127" spans="1:7" ht="31.2">
      <c r="A127" s="185">
        <v>9.6999999999999993</v>
      </c>
      <c r="B127" s="202" t="s">
        <v>1456</v>
      </c>
      <c r="C127" s="195"/>
      <c r="D127" s="196"/>
      <c r="E127" s="195"/>
      <c r="F127" s="186"/>
    </row>
    <row r="128" spans="1:7" ht="15.6">
      <c r="A128" s="419"/>
      <c r="B128" s="194"/>
      <c r="C128" s="187"/>
      <c r="D128" s="188"/>
      <c r="E128" s="189"/>
      <c r="F128" s="190"/>
    </row>
    <row r="129" spans="1:198" ht="15.6">
      <c r="A129" s="193"/>
      <c r="B129" s="194" t="s">
        <v>310</v>
      </c>
      <c r="C129" s="195"/>
      <c r="D129" s="196"/>
      <c r="E129" s="195"/>
      <c r="F129" s="190"/>
    </row>
    <row r="130" spans="1:198" ht="62.4">
      <c r="A130" s="193"/>
      <c r="B130" s="424" t="s">
        <v>467</v>
      </c>
      <c r="C130" s="199"/>
      <c r="D130" s="196"/>
      <c r="E130" s="195"/>
      <c r="F130" s="190"/>
    </row>
    <row r="131" spans="1:198" ht="15.6">
      <c r="A131" s="193" t="s">
        <v>1457</v>
      </c>
      <c r="B131" s="200" t="s">
        <v>704</v>
      </c>
      <c r="C131" s="199" t="s">
        <v>10</v>
      </c>
      <c r="D131" s="196">
        <v>16</v>
      </c>
      <c r="E131" s="195"/>
      <c r="F131" s="190"/>
    </row>
    <row r="132" spans="1:198" ht="15.6">
      <c r="A132" s="193"/>
      <c r="B132" s="201" t="s">
        <v>311</v>
      </c>
      <c r="C132" s="199"/>
      <c r="D132" s="196"/>
      <c r="E132" s="195"/>
      <c r="F132" s="190"/>
    </row>
    <row r="133" spans="1:198" ht="15.6">
      <c r="A133" s="193" t="s">
        <v>1458</v>
      </c>
      <c r="B133" s="200" t="s">
        <v>312</v>
      </c>
      <c r="C133" s="199" t="s">
        <v>304</v>
      </c>
      <c r="D133" s="196">
        <f>D131</f>
        <v>16</v>
      </c>
      <c r="E133" s="195"/>
      <c r="F133" s="190"/>
    </row>
    <row r="134" spans="1:198" s="155" customFormat="1" ht="15.6">
      <c r="A134" s="193"/>
      <c r="B134" s="202" t="s">
        <v>313</v>
      </c>
      <c r="C134" s="195"/>
      <c r="D134" s="196"/>
      <c r="E134" s="195"/>
      <c r="F134" s="190"/>
      <c r="G134" s="154"/>
    </row>
    <row r="135" spans="1:198" s="76" customFormat="1" ht="124.8">
      <c r="A135" s="193"/>
      <c r="B135" s="203" t="s">
        <v>631</v>
      </c>
      <c r="C135" s="199"/>
      <c r="D135" s="196"/>
      <c r="E135" s="195"/>
      <c r="F135" s="190"/>
      <c r="G135" s="75"/>
    </row>
    <row r="136" spans="1:198" s="52" customFormat="1" ht="15.6">
      <c r="A136" s="193"/>
      <c r="B136" s="204" t="s">
        <v>314</v>
      </c>
      <c r="C136" s="199"/>
      <c r="D136" s="196"/>
      <c r="E136" s="195"/>
      <c r="F136" s="190"/>
      <c r="G136" s="74"/>
    </row>
    <row r="137" spans="1:198" s="52" customFormat="1" ht="15.6">
      <c r="A137" s="193" t="s">
        <v>1459</v>
      </c>
      <c r="B137" s="204" t="s">
        <v>315</v>
      </c>
      <c r="C137" s="199" t="s">
        <v>304</v>
      </c>
      <c r="D137" s="196">
        <v>5</v>
      </c>
      <c r="E137" s="195"/>
      <c r="F137" s="190"/>
      <c r="G137" s="74"/>
    </row>
    <row r="138" spans="1:198" s="156" customFormat="1" ht="15.6">
      <c r="A138" s="193"/>
      <c r="B138" s="201" t="s">
        <v>316</v>
      </c>
      <c r="C138" s="195"/>
      <c r="D138" s="196"/>
      <c r="E138" s="195"/>
      <c r="F138" s="190"/>
      <c r="G138" s="62"/>
    </row>
    <row r="139" spans="1:198" s="156" customFormat="1" ht="78">
      <c r="A139" s="193"/>
      <c r="B139" s="200" t="s">
        <v>705</v>
      </c>
      <c r="C139" s="199"/>
      <c r="D139" s="196"/>
      <c r="E139" s="195"/>
      <c r="F139" s="190"/>
      <c r="G139" s="62"/>
    </row>
    <row r="140" spans="1:198" s="161" customFormat="1" ht="15.6">
      <c r="A140" s="193" t="s">
        <v>1460</v>
      </c>
      <c r="B140" s="204" t="s">
        <v>317</v>
      </c>
      <c r="C140" s="199" t="s">
        <v>318</v>
      </c>
      <c r="D140" s="196">
        <f>96*3</f>
        <v>288</v>
      </c>
      <c r="E140" s="195"/>
      <c r="F140" s="190"/>
      <c r="G140" s="159"/>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row>
    <row r="141" spans="1:198" s="161" customFormat="1" ht="46.8">
      <c r="A141" s="420"/>
      <c r="B141" s="201" t="s">
        <v>706</v>
      </c>
      <c r="C141" s="205"/>
      <c r="D141" s="196"/>
      <c r="E141" s="195"/>
      <c r="F141" s="190"/>
      <c r="G141" s="159"/>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row>
    <row r="142" spans="1:198" s="161" customFormat="1" ht="15.6">
      <c r="A142" s="420" t="s">
        <v>1460</v>
      </c>
      <c r="B142" s="206" t="s">
        <v>319</v>
      </c>
      <c r="C142" s="205" t="s">
        <v>320</v>
      </c>
      <c r="D142" s="196">
        <v>5</v>
      </c>
      <c r="E142" s="195"/>
      <c r="F142" s="190"/>
      <c r="G142" s="159"/>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160"/>
      <c r="AP142" s="160"/>
      <c r="AQ142" s="160"/>
      <c r="AR142" s="160"/>
      <c r="AS142" s="160"/>
      <c r="AT142" s="160"/>
      <c r="AU142" s="160"/>
      <c r="AV142" s="160"/>
      <c r="AW142" s="160"/>
      <c r="AX142" s="160"/>
      <c r="AY142" s="160"/>
      <c r="AZ142" s="160"/>
      <c r="BA142" s="160"/>
      <c r="BB142" s="160"/>
      <c r="BC142" s="160"/>
      <c r="BD142" s="160"/>
      <c r="BE142" s="160"/>
      <c r="BF142" s="160"/>
      <c r="BG142" s="160"/>
      <c r="BH142" s="160"/>
      <c r="BI142" s="160"/>
      <c r="BJ142" s="160"/>
      <c r="BK142" s="160"/>
      <c r="BL142" s="160"/>
      <c r="BM142" s="160"/>
      <c r="BN142" s="160"/>
      <c r="BO142" s="160"/>
      <c r="BP142" s="160"/>
      <c r="BQ142" s="160"/>
      <c r="BR142" s="160"/>
      <c r="BS142" s="160"/>
      <c r="BT142" s="160"/>
      <c r="BU142" s="160"/>
      <c r="BV142" s="160"/>
      <c r="BW142" s="160"/>
      <c r="BX142" s="160"/>
      <c r="BY142" s="160"/>
      <c r="BZ142" s="160"/>
      <c r="CA142" s="160"/>
      <c r="CB142" s="160"/>
      <c r="CC142" s="160"/>
      <c r="CD142" s="160"/>
      <c r="CE142" s="160"/>
      <c r="CF142" s="160"/>
      <c r="CG142" s="160"/>
      <c r="CH142" s="160"/>
      <c r="CI142" s="160"/>
      <c r="CJ142" s="160"/>
      <c r="CK142" s="160"/>
      <c r="CL142" s="160"/>
      <c r="CM142" s="160"/>
      <c r="CN142" s="160"/>
      <c r="CO142" s="160"/>
      <c r="CP142" s="160"/>
      <c r="CQ142" s="160"/>
      <c r="CR142" s="160"/>
      <c r="CS142" s="160"/>
      <c r="CT142" s="160"/>
      <c r="CU142" s="160"/>
      <c r="CV142" s="160"/>
      <c r="CW142" s="160"/>
      <c r="CX142" s="160"/>
      <c r="CY142" s="160"/>
      <c r="CZ142" s="160"/>
      <c r="DA142" s="160"/>
      <c r="DB142" s="160"/>
      <c r="DC142" s="160"/>
      <c r="DD142" s="160"/>
      <c r="DE142" s="160"/>
      <c r="DF142" s="160"/>
      <c r="DG142" s="160"/>
      <c r="DH142" s="160"/>
      <c r="DI142" s="160"/>
      <c r="DJ142" s="160"/>
      <c r="DK142" s="160"/>
      <c r="DL142" s="160"/>
      <c r="DM142" s="160"/>
      <c r="DN142" s="160"/>
      <c r="DO142" s="160"/>
      <c r="DP142" s="160"/>
      <c r="DQ142" s="160"/>
      <c r="DR142" s="160"/>
      <c r="DS142" s="160"/>
      <c r="DT142" s="160"/>
      <c r="DU142" s="160"/>
      <c r="DV142" s="160"/>
      <c r="DW142" s="160"/>
      <c r="DX142" s="160"/>
      <c r="DY142" s="160"/>
      <c r="DZ142" s="160"/>
      <c r="EA142" s="160"/>
      <c r="EB142" s="160"/>
      <c r="EC142" s="160"/>
      <c r="ED142" s="160"/>
      <c r="EE142" s="160"/>
      <c r="EF142" s="160"/>
      <c r="EG142" s="160"/>
      <c r="EH142" s="160"/>
      <c r="EI142" s="160"/>
      <c r="EJ142" s="160"/>
      <c r="EK142" s="160"/>
      <c r="EL142" s="160"/>
      <c r="EM142" s="160"/>
      <c r="EN142" s="160"/>
      <c r="EO142" s="160"/>
      <c r="EP142" s="160"/>
      <c r="EQ142" s="160"/>
      <c r="ER142" s="160"/>
      <c r="ES142" s="160"/>
      <c r="ET142" s="160"/>
      <c r="EU142" s="160"/>
      <c r="EV142" s="160"/>
      <c r="EW142" s="160"/>
      <c r="EX142" s="160"/>
      <c r="EY142" s="160"/>
      <c r="EZ142" s="160"/>
      <c r="FA142" s="160"/>
      <c r="FB142" s="160"/>
      <c r="FC142" s="160"/>
      <c r="FD142" s="160"/>
      <c r="FE142" s="160"/>
      <c r="FF142" s="160"/>
      <c r="FG142" s="160"/>
      <c r="FH142" s="160"/>
      <c r="FI142" s="160"/>
      <c r="FJ142" s="160"/>
      <c r="FK142" s="160"/>
      <c r="FL142" s="160"/>
      <c r="FM142" s="160"/>
      <c r="FN142" s="160"/>
      <c r="FO142" s="160"/>
      <c r="FP142" s="160"/>
      <c r="FQ142" s="160"/>
      <c r="FR142" s="160"/>
      <c r="FS142" s="160"/>
      <c r="FT142" s="160"/>
      <c r="FU142" s="160"/>
      <c r="FV142" s="160"/>
      <c r="FW142" s="160"/>
      <c r="FX142" s="160"/>
      <c r="FY142" s="160"/>
      <c r="FZ142" s="160"/>
      <c r="GA142" s="160"/>
      <c r="GB142" s="160"/>
      <c r="GC142" s="160"/>
      <c r="GD142" s="160"/>
      <c r="GE142" s="160"/>
      <c r="GF142" s="160"/>
      <c r="GG142" s="160"/>
      <c r="GH142" s="160"/>
      <c r="GI142" s="160"/>
      <c r="GJ142" s="160"/>
      <c r="GK142" s="160"/>
      <c r="GL142" s="160"/>
      <c r="GM142" s="160"/>
      <c r="GN142" s="160"/>
      <c r="GO142" s="160"/>
      <c r="GP142" s="160"/>
    </row>
    <row r="143" spans="1:198" s="161" customFormat="1" ht="46.8">
      <c r="A143" s="420"/>
      <c r="B143" s="207" t="s">
        <v>707</v>
      </c>
      <c r="C143" s="199"/>
      <c r="D143" s="196"/>
      <c r="E143" s="195"/>
      <c r="F143" s="190"/>
      <c r="G143" s="159"/>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0"/>
      <c r="AJ143" s="160"/>
      <c r="AK143" s="160"/>
      <c r="AL143" s="160"/>
      <c r="AM143" s="160"/>
      <c r="AN143" s="160"/>
      <c r="AO143" s="160"/>
      <c r="AP143" s="160"/>
      <c r="AQ143" s="160"/>
      <c r="AR143" s="160"/>
      <c r="AS143" s="160"/>
      <c r="AT143" s="160"/>
      <c r="AU143" s="160"/>
      <c r="AV143" s="160"/>
      <c r="AW143" s="160"/>
      <c r="AX143" s="160"/>
      <c r="AY143" s="160"/>
      <c r="AZ143" s="160"/>
      <c r="BA143" s="160"/>
      <c r="BB143" s="160"/>
      <c r="BC143" s="160"/>
      <c r="BD143" s="160"/>
      <c r="BE143" s="160"/>
      <c r="BF143" s="160"/>
      <c r="BG143" s="160"/>
      <c r="BH143" s="160"/>
      <c r="BI143" s="160"/>
      <c r="BJ143" s="160"/>
      <c r="BK143" s="160"/>
      <c r="BL143" s="160"/>
      <c r="BM143" s="160"/>
      <c r="BN143" s="160"/>
      <c r="BO143" s="160"/>
      <c r="BP143" s="160"/>
      <c r="BQ143" s="160"/>
      <c r="BR143" s="160"/>
      <c r="BS143" s="160"/>
      <c r="BT143" s="160"/>
      <c r="BU143" s="160"/>
      <c r="BV143" s="160"/>
      <c r="BW143" s="160"/>
      <c r="BX143" s="160"/>
      <c r="BY143" s="160"/>
      <c r="BZ143" s="160"/>
      <c r="CA143" s="160"/>
      <c r="CB143" s="160"/>
      <c r="CC143" s="160"/>
      <c r="CD143" s="160"/>
      <c r="CE143" s="160"/>
      <c r="CF143" s="160"/>
      <c r="CG143" s="160"/>
      <c r="CH143" s="160"/>
      <c r="CI143" s="160"/>
      <c r="CJ143" s="160"/>
      <c r="CK143" s="160"/>
      <c r="CL143" s="160"/>
      <c r="CM143" s="160"/>
      <c r="CN143" s="160"/>
      <c r="CO143" s="160"/>
      <c r="CP143" s="160"/>
      <c r="CQ143" s="160"/>
      <c r="CR143" s="160"/>
      <c r="CS143" s="160"/>
      <c r="CT143" s="160"/>
      <c r="CU143" s="160"/>
      <c r="CV143" s="160"/>
      <c r="CW143" s="160"/>
      <c r="CX143" s="160"/>
      <c r="CY143" s="160"/>
      <c r="CZ143" s="160"/>
      <c r="DA143" s="160"/>
      <c r="DB143" s="160"/>
      <c r="DC143" s="160"/>
      <c r="DD143" s="160"/>
      <c r="DE143" s="160"/>
      <c r="DF143" s="160"/>
      <c r="DG143" s="160"/>
      <c r="DH143" s="160"/>
      <c r="DI143" s="160"/>
      <c r="DJ143" s="160"/>
      <c r="DK143" s="160"/>
      <c r="DL143" s="160"/>
      <c r="DM143" s="160"/>
      <c r="DN143" s="160"/>
      <c r="DO143" s="160"/>
      <c r="DP143" s="160"/>
      <c r="DQ143" s="160"/>
      <c r="DR143" s="160"/>
      <c r="DS143" s="160"/>
      <c r="DT143" s="160"/>
      <c r="DU143" s="160"/>
      <c r="DV143" s="160"/>
      <c r="DW143" s="160"/>
      <c r="DX143" s="160"/>
      <c r="DY143" s="160"/>
      <c r="DZ143" s="160"/>
      <c r="EA143" s="160"/>
      <c r="EB143" s="160"/>
      <c r="EC143" s="160"/>
      <c r="ED143" s="160"/>
      <c r="EE143" s="160"/>
      <c r="EF143" s="160"/>
      <c r="EG143" s="160"/>
      <c r="EH143" s="160"/>
      <c r="EI143" s="160"/>
      <c r="EJ143" s="160"/>
      <c r="EK143" s="160"/>
      <c r="EL143" s="160"/>
      <c r="EM143" s="160"/>
      <c r="EN143" s="160"/>
      <c r="EO143" s="160"/>
      <c r="EP143" s="160"/>
      <c r="EQ143" s="160"/>
      <c r="ER143" s="160"/>
      <c r="ES143" s="160"/>
      <c r="ET143" s="160"/>
      <c r="EU143" s="160"/>
      <c r="EV143" s="160"/>
      <c r="EW143" s="160"/>
      <c r="EX143" s="160"/>
      <c r="EY143" s="160"/>
      <c r="EZ143" s="160"/>
      <c r="FA143" s="160"/>
      <c r="FB143" s="160"/>
      <c r="FC143" s="160"/>
      <c r="FD143" s="160"/>
      <c r="FE143" s="160"/>
      <c r="FF143" s="160"/>
      <c r="FG143" s="160"/>
      <c r="FH143" s="160"/>
      <c r="FI143" s="160"/>
      <c r="FJ143" s="160"/>
      <c r="FK143" s="160"/>
      <c r="FL143" s="160"/>
      <c r="FM143" s="160"/>
      <c r="FN143" s="160"/>
      <c r="FO143" s="160"/>
      <c r="FP143" s="160"/>
      <c r="FQ143" s="160"/>
      <c r="FR143" s="160"/>
      <c r="FS143" s="160"/>
      <c r="FT143" s="160"/>
      <c r="FU143" s="160"/>
      <c r="FV143" s="160"/>
      <c r="FW143" s="160"/>
      <c r="FX143" s="160"/>
      <c r="FY143" s="160"/>
      <c r="FZ143" s="160"/>
      <c r="GA143" s="160"/>
      <c r="GB143" s="160"/>
      <c r="GC143" s="160"/>
      <c r="GD143" s="160"/>
      <c r="GE143" s="160"/>
      <c r="GF143" s="160"/>
      <c r="GG143" s="160"/>
      <c r="GH143" s="160"/>
      <c r="GI143" s="160"/>
      <c r="GJ143" s="160"/>
      <c r="GK143" s="160"/>
      <c r="GL143" s="160"/>
      <c r="GM143" s="160"/>
      <c r="GN143" s="160"/>
      <c r="GO143" s="160"/>
      <c r="GP143" s="160"/>
    </row>
    <row r="144" spans="1:198" s="161" customFormat="1" ht="16.2" thickBot="1">
      <c r="A144" s="419"/>
      <c r="B144" s="761" t="s">
        <v>1002</v>
      </c>
      <c r="C144" s="208"/>
      <c r="D144" s="209"/>
      <c r="E144" s="210"/>
      <c r="F144" s="785"/>
      <c r="G144" s="159"/>
      <c r="H144" s="160"/>
      <c r="I144" s="160"/>
      <c r="J144" s="160"/>
      <c r="K144" s="160"/>
      <c r="L144" s="160"/>
      <c r="M144" s="160"/>
      <c r="N144" s="160"/>
      <c r="O144" s="160"/>
      <c r="P144" s="160"/>
      <c r="Q144" s="160"/>
      <c r="R144" s="160"/>
      <c r="S144" s="160"/>
      <c r="T144" s="160"/>
      <c r="U144" s="160"/>
      <c r="V144" s="160"/>
      <c r="W144" s="160"/>
      <c r="X144" s="160"/>
      <c r="Y144" s="160"/>
      <c r="Z144" s="160"/>
      <c r="AA144" s="160"/>
      <c r="AB144" s="160"/>
      <c r="AC144" s="160"/>
      <c r="AD144" s="160"/>
      <c r="AE144" s="160"/>
      <c r="AF144" s="160"/>
      <c r="AG144" s="160"/>
      <c r="AH144" s="160"/>
      <c r="AI144" s="160"/>
      <c r="AJ144" s="160"/>
      <c r="AK144" s="160"/>
      <c r="AL144" s="160"/>
      <c r="AM144" s="160"/>
      <c r="AN144" s="160"/>
      <c r="AO144" s="160"/>
      <c r="AP144" s="160"/>
      <c r="AQ144" s="160"/>
      <c r="AR144" s="160"/>
      <c r="AS144" s="160"/>
      <c r="AT144" s="160"/>
      <c r="AU144" s="160"/>
      <c r="AV144" s="160"/>
      <c r="AW144" s="160"/>
      <c r="AX144" s="160"/>
      <c r="AY144" s="160"/>
      <c r="AZ144" s="160"/>
      <c r="BA144" s="160"/>
      <c r="BB144" s="160"/>
      <c r="BC144" s="160"/>
      <c r="BD144" s="160"/>
      <c r="BE144" s="160"/>
      <c r="BF144" s="160"/>
      <c r="BG144" s="160"/>
      <c r="BH144" s="160"/>
      <c r="BI144" s="160"/>
      <c r="BJ144" s="160"/>
      <c r="BK144" s="160"/>
      <c r="BL144" s="160"/>
      <c r="BM144" s="160"/>
      <c r="BN144" s="160"/>
      <c r="BO144" s="160"/>
      <c r="BP144" s="160"/>
      <c r="BQ144" s="160"/>
      <c r="BR144" s="160"/>
      <c r="BS144" s="160"/>
      <c r="BT144" s="160"/>
      <c r="BU144" s="160"/>
      <c r="BV144" s="160"/>
      <c r="BW144" s="160"/>
      <c r="BX144" s="160"/>
      <c r="BY144" s="160"/>
      <c r="BZ144" s="160"/>
      <c r="CA144" s="160"/>
      <c r="CB144" s="160"/>
      <c r="CC144" s="160"/>
      <c r="CD144" s="160"/>
      <c r="CE144" s="160"/>
      <c r="CF144" s="160"/>
      <c r="CG144" s="160"/>
      <c r="CH144" s="160"/>
      <c r="CI144" s="160"/>
      <c r="CJ144" s="160"/>
      <c r="CK144" s="160"/>
      <c r="CL144" s="160"/>
      <c r="CM144" s="160"/>
      <c r="CN144" s="160"/>
      <c r="CO144" s="160"/>
      <c r="CP144" s="160"/>
      <c r="CQ144" s="160"/>
      <c r="CR144" s="160"/>
      <c r="CS144" s="160"/>
      <c r="CT144" s="160"/>
      <c r="CU144" s="160"/>
      <c r="CV144" s="160"/>
      <c r="CW144" s="160"/>
      <c r="CX144" s="160"/>
      <c r="CY144" s="160"/>
      <c r="CZ144" s="160"/>
      <c r="DA144" s="160"/>
      <c r="DB144" s="160"/>
      <c r="DC144" s="160"/>
      <c r="DD144" s="160"/>
      <c r="DE144" s="160"/>
      <c r="DF144" s="160"/>
      <c r="DG144" s="160"/>
      <c r="DH144" s="160"/>
      <c r="DI144" s="160"/>
      <c r="DJ144" s="160"/>
      <c r="DK144" s="160"/>
      <c r="DL144" s="160"/>
      <c r="DM144" s="160"/>
      <c r="DN144" s="160"/>
      <c r="DO144" s="160"/>
      <c r="DP144" s="160"/>
      <c r="DQ144" s="160"/>
      <c r="DR144" s="160"/>
      <c r="DS144" s="160"/>
      <c r="DT144" s="160"/>
      <c r="DU144" s="160"/>
      <c r="DV144" s="160"/>
      <c r="DW144" s="160"/>
      <c r="DX144" s="160"/>
      <c r="DY144" s="160"/>
      <c r="DZ144" s="160"/>
      <c r="EA144" s="160"/>
      <c r="EB144" s="160"/>
      <c r="EC144" s="160"/>
      <c r="ED144" s="160"/>
      <c r="EE144" s="160"/>
      <c r="EF144" s="160"/>
      <c r="EG144" s="160"/>
      <c r="EH144" s="160"/>
      <c r="EI144" s="160"/>
      <c r="EJ144" s="160"/>
      <c r="EK144" s="160"/>
      <c r="EL144" s="160"/>
      <c r="EM144" s="160"/>
      <c r="EN144" s="160"/>
      <c r="EO144" s="160"/>
      <c r="EP144" s="160"/>
      <c r="EQ144" s="160"/>
      <c r="ER144" s="160"/>
      <c r="ES144" s="160"/>
      <c r="ET144" s="160"/>
      <c r="EU144" s="160"/>
      <c r="EV144" s="160"/>
      <c r="EW144" s="160"/>
      <c r="EX144" s="160"/>
      <c r="EY144" s="160"/>
      <c r="EZ144" s="160"/>
      <c r="FA144" s="160"/>
      <c r="FB144" s="160"/>
      <c r="FC144" s="160"/>
      <c r="FD144" s="160"/>
      <c r="FE144" s="160"/>
      <c r="FF144" s="160"/>
      <c r="FG144" s="160"/>
      <c r="FH144" s="160"/>
      <c r="FI144" s="160"/>
      <c r="FJ144" s="160"/>
      <c r="FK144" s="160"/>
      <c r="FL144" s="160"/>
      <c r="FM144" s="160"/>
      <c r="FN144" s="160"/>
      <c r="FO144" s="160"/>
      <c r="FP144" s="160"/>
      <c r="FQ144" s="160"/>
      <c r="FR144" s="160"/>
      <c r="FS144" s="160"/>
      <c r="FT144" s="160"/>
      <c r="FU144" s="160"/>
      <c r="FV144" s="160"/>
      <c r="FW144" s="160"/>
      <c r="FX144" s="160"/>
      <c r="FY144" s="160"/>
      <c r="FZ144" s="160"/>
      <c r="GA144" s="160"/>
      <c r="GB144" s="160"/>
      <c r="GC144" s="160"/>
      <c r="GD144" s="160"/>
      <c r="GE144" s="160"/>
      <c r="GF144" s="160"/>
      <c r="GG144" s="160"/>
      <c r="GH144" s="160"/>
      <c r="GI144" s="160"/>
      <c r="GJ144" s="160"/>
      <c r="GK144" s="160"/>
      <c r="GL144" s="160"/>
      <c r="GM144" s="160"/>
      <c r="GN144" s="160"/>
      <c r="GO144" s="160"/>
      <c r="GP144" s="160"/>
    </row>
    <row r="145" spans="1:6" ht="15.6">
      <c r="A145" s="819"/>
      <c r="B145" s="761"/>
      <c r="C145" s="820"/>
      <c r="D145" s="821"/>
      <c r="E145" s="822"/>
      <c r="F145" s="823"/>
    </row>
    <row r="146" spans="1:6">
      <c r="A146" s="421"/>
      <c r="B146" s="212" t="s">
        <v>1012</v>
      </c>
      <c r="C146" s="213"/>
      <c r="D146" s="214"/>
      <c r="E146" s="215"/>
      <c r="F146" s="216"/>
    </row>
    <row r="147" spans="1:6">
      <c r="A147" s="422">
        <v>9.8000000000000007</v>
      </c>
      <c r="B147" s="212" t="s">
        <v>1461</v>
      </c>
      <c r="C147" s="213"/>
      <c r="D147" s="214"/>
      <c r="E147" s="215"/>
      <c r="F147" s="216"/>
    </row>
    <row r="148" spans="1:6" ht="28.8">
      <c r="A148" s="421" t="s">
        <v>1462</v>
      </c>
      <c r="B148" s="217" t="s">
        <v>486</v>
      </c>
      <c r="C148" s="213" t="s">
        <v>329</v>
      </c>
      <c r="D148" s="214" t="s">
        <v>468</v>
      </c>
      <c r="E148" s="215"/>
      <c r="F148" s="190"/>
    </row>
    <row r="149" spans="1:6" ht="15.6">
      <c r="A149" s="1045"/>
      <c r="B149" s="1078"/>
      <c r="C149" s="1047"/>
      <c r="D149" s="1048"/>
      <c r="E149" s="1049"/>
      <c r="F149" s="1079"/>
    </row>
    <row r="150" spans="1:6" ht="15" thickBot="1">
      <c r="A150" s="422"/>
      <c r="B150" s="761" t="s">
        <v>1002</v>
      </c>
      <c r="C150" s="219"/>
      <c r="D150" s="220"/>
      <c r="E150" s="221"/>
      <c r="F150" s="785"/>
    </row>
    <row r="151" spans="1:6">
      <c r="A151" s="421"/>
      <c r="B151" s="227" t="s">
        <v>669</v>
      </c>
      <c r="C151" s="225"/>
      <c r="D151" s="225"/>
      <c r="E151" s="225"/>
      <c r="F151" s="226"/>
    </row>
    <row r="152" spans="1:6">
      <c r="A152" s="421"/>
      <c r="B152" s="225"/>
      <c r="C152" s="225"/>
      <c r="D152" s="225"/>
      <c r="E152" s="225"/>
      <c r="F152" s="226"/>
    </row>
    <row r="153" spans="1:6">
      <c r="A153" s="421">
        <f>A7</f>
        <v>9.1</v>
      </c>
      <c r="B153" s="225" t="str">
        <f>B7</f>
        <v>ELEMENT NO. 1 : DEMOLITIONS</v>
      </c>
      <c r="C153" s="225"/>
      <c r="D153" s="225"/>
      <c r="E153" s="225"/>
      <c r="F153" s="226"/>
    </row>
    <row r="154" spans="1:6">
      <c r="A154" s="1045">
        <f>A14</f>
        <v>9.1999999999999993</v>
      </c>
      <c r="B154" s="1060" t="str">
        <f>B14</f>
        <v>ELEMENT NO. 2 : SUBSTRUCTURE - PROVISIONAL (at the entarance verrander only)</v>
      </c>
      <c r="C154" s="1060"/>
      <c r="D154" s="1060"/>
      <c r="E154" s="1060"/>
      <c r="F154" s="1101"/>
    </row>
    <row r="155" spans="1:6">
      <c r="A155" s="1045">
        <f>A39</f>
        <v>9.3000000000000007</v>
      </c>
      <c r="B155" s="1076" t="str">
        <f>B39</f>
        <v>ELEMENT NO. 3 - RENOVATIONAND CONCRETE WORKS</v>
      </c>
      <c r="C155" s="1060"/>
      <c r="D155" s="1060"/>
      <c r="E155" s="1060"/>
      <c r="F155" s="1101"/>
    </row>
    <row r="156" spans="1:6">
      <c r="A156" s="1045">
        <v>9.4</v>
      </c>
      <c r="B156" s="1076" t="str">
        <f>B59</f>
        <v>ELEMENT 4: ROOF</v>
      </c>
      <c r="C156" s="1060"/>
      <c r="D156" s="1060"/>
      <c r="E156" s="1060"/>
      <c r="F156" s="1101"/>
    </row>
    <row r="157" spans="1:6">
      <c r="A157" s="1045">
        <v>9.5</v>
      </c>
      <c r="B157" s="1076" t="str">
        <f>B87</f>
        <v>ELEMENT NO. 4 - DOORS</v>
      </c>
      <c r="C157" s="1060"/>
      <c r="D157" s="1060"/>
      <c r="E157" s="1060"/>
      <c r="F157" s="1101"/>
    </row>
    <row r="158" spans="1:6">
      <c r="A158" s="1045">
        <v>9.6</v>
      </c>
      <c r="B158" s="1076" t="str">
        <f>B95</f>
        <v>ELEMENT NO. 5 - WINDOWS</v>
      </c>
      <c r="C158" s="1060"/>
      <c r="D158" s="1060"/>
      <c r="E158" s="1060"/>
      <c r="F158" s="1101"/>
    </row>
    <row r="159" spans="1:6">
      <c r="A159" s="1045">
        <v>9.6999999999999993</v>
      </c>
      <c r="B159" s="1076" t="str">
        <f>B99</f>
        <v xml:space="preserve">ELEMENT NO. 6: INTERNAL FINISHES </v>
      </c>
      <c r="C159" s="1060"/>
      <c r="D159" s="1060"/>
      <c r="E159" s="1060"/>
      <c r="F159" s="1101"/>
    </row>
    <row r="160" spans="1:6">
      <c r="A160" s="1045">
        <v>9.8000000000000007</v>
      </c>
      <c r="B160" s="1076" t="str">
        <f>B121</f>
        <v>ELEMENT NO.6 - STORAGE SHELVES</v>
      </c>
      <c r="C160" s="1060"/>
      <c r="D160" s="1060"/>
      <c r="E160" s="1060"/>
      <c r="F160" s="1101"/>
    </row>
    <row r="161" spans="1:6">
      <c r="A161" s="1045">
        <v>9.9</v>
      </c>
      <c r="B161" s="1076" t="str">
        <f>B127</f>
        <v>ELEMENT NO. 7: ELECTRICAL INSTALLATIONS AND SERVICES</v>
      </c>
      <c r="C161" s="1060"/>
      <c r="D161" s="1060"/>
      <c r="E161" s="1060"/>
      <c r="F161" s="1101"/>
    </row>
    <row r="162" spans="1:6">
      <c r="A162" s="1045">
        <v>9.1</v>
      </c>
      <c r="B162" s="225" t="str">
        <f>B147</f>
        <v>ELEMENT NO. 8: STEPS AND RUMPS</v>
      </c>
      <c r="C162" s="225"/>
      <c r="D162" s="225"/>
      <c r="E162" s="225"/>
      <c r="F162" s="226"/>
    </row>
    <row r="163" spans="1:6">
      <c r="A163" s="421"/>
      <c r="B163" s="225"/>
      <c r="C163" s="225"/>
      <c r="D163" s="225"/>
      <c r="E163" s="225"/>
      <c r="F163" s="226"/>
    </row>
    <row r="164" spans="1:6">
      <c r="A164" s="421"/>
      <c r="B164" s="225"/>
      <c r="C164" s="225"/>
      <c r="D164" s="225"/>
      <c r="E164" s="225"/>
      <c r="F164" s="226"/>
    </row>
    <row r="165" spans="1:6">
      <c r="A165" s="422"/>
      <c r="B165" s="227" t="s">
        <v>1067</v>
      </c>
      <c r="C165" s="227"/>
      <c r="D165" s="227"/>
      <c r="E165" s="227"/>
      <c r="F165" s="228"/>
    </row>
  </sheetData>
  <pageMargins left="0.7" right="0.7" top="0.75" bottom="0.75" header="0.3" footer="0.3"/>
  <pageSetup scale="64" orientation="portrait" r:id="rId1"/>
  <rowBreaks count="1" manualBreakCount="1">
    <brk id="57"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16</vt:i4>
      </vt:variant>
    </vt:vector>
  </HeadingPairs>
  <TitlesOfParts>
    <vt:vector size="34" baseType="lpstr">
      <vt:lpstr>1 Preliminaries </vt:lpstr>
      <vt:lpstr>2 Office Block</vt:lpstr>
      <vt:lpstr>3 New Calssrooms</vt:lpstr>
      <vt:lpstr>4 Metting Hall Partitioning </vt:lpstr>
      <vt:lpstr>5 Prayer Room</vt:lpstr>
      <vt:lpstr>6 General Store</vt:lpstr>
      <vt:lpstr>7 Clinic</vt:lpstr>
      <vt:lpstr>8 Kitchen and Dining</vt:lpstr>
      <vt:lpstr>9 Accommodattion Block</vt:lpstr>
      <vt:lpstr>10 Toilets</vt:lpstr>
      <vt:lpstr>11 Gate House </vt:lpstr>
      <vt:lpstr>12 WATER TANK</vt:lpstr>
      <vt:lpstr>13 Security Fences</vt:lpstr>
      <vt:lpstr>14 Guard Towers</vt:lpstr>
      <vt:lpstr>15 Street Lights</vt:lpstr>
      <vt:lpstr>16 Septic Tank</vt:lpstr>
      <vt:lpstr>17 External Works</vt:lpstr>
      <vt:lpstr>Summary</vt:lpstr>
      <vt:lpstr>'10 Toilets'!Print_Area</vt:lpstr>
      <vt:lpstr>'11 Gate House '!Print_Area</vt:lpstr>
      <vt:lpstr>'12 WATER TANK'!Print_Area</vt:lpstr>
      <vt:lpstr>'13 Security Fences'!Print_Area</vt:lpstr>
      <vt:lpstr>'14 Guard Towers'!Print_Area</vt:lpstr>
      <vt:lpstr>'15 Street Lights'!Print_Area</vt:lpstr>
      <vt:lpstr>'17 External Works'!Print_Area</vt:lpstr>
      <vt:lpstr>'2 Office Block'!Print_Area</vt:lpstr>
      <vt:lpstr>'3 New Calssrooms'!Print_Area</vt:lpstr>
      <vt:lpstr>'4 Metting Hall Partitioning '!Print_Area</vt:lpstr>
      <vt:lpstr>'5 Prayer Room'!Print_Area</vt:lpstr>
      <vt:lpstr>'6 General Store'!Print_Area</vt:lpstr>
      <vt:lpstr>'7 Clinic'!Print_Area</vt:lpstr>
      <vt:lpstr>'8 Kitchen and Dining'!Print_Area</vt:lpstr>
      <vt:lpstr>'9 Accommodattion Block'!Print_Area</vt:lpstr>
      <vt:lpstr>Summary!Print_Area</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2018-09-06T16:58:59Z</cp:lastPrinted>
  <dcterms:created xsi:type="dcterms:W3CDTF">2007-10-12T09:00:49Z</dcterms:created>
  <dcterms:modified xsi:type="dcterms:W3CDTF">2019-01-28T12:00:11Z</dcterms:modified>
</cp:coreProperties>
</file>